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20490" windowHeight="7515" tabRatio="611" activeTab="8"/>
  </bookViews>
  <sheets>
    <sheet name="1월" sheetId="6" r:id="rId1"/>
    <sheet name="2월" sheetId="9" r:id="rId2"/>
    <sheet name="3월" sheetId="10" r:id="rId3"/>
    <sheet name="4월" sheetId="11" r:id="rId4"/>
    <sheet name="5월" sheetId="12" r:id="rId5"/>
    <sheet name="6월" sheetId="13" r:id="rId6"/>
    <sheet name="7월" sheetId="14" r:id="rId7"/>
    <sheet name="8월" sheetId="15" r:id="rId8"/>
    <sheet name="9월" sheetId="16" r:id="rId9"/>
    <sheet name="10월" sheetId="17" r:id="rId10"/>
    <sheet name="11월" sheetId="18" r:id="rId11"/>
    <sheet name="12월" sheetId="19" r:id="rId12"/>
  </sheets>
  <definedNames>
    <definedName name="AprSun1">DATE(연간_달력,4,1)-WEEKDAY(DATE(연간_달력,4,1))</definedName>
    <definedName name="AugSun1">DATE(연간_달력,8,1)-WEEKDAY(DATE(연간_달력,8,1))</definedName>
    <definedName name="DecSun1">DATE(연간_달력,12,1)-WEEKDAY(DATE(연간_달력,12,1))</definedName>
    <definedName name="FebSun1">DATE(연간_달력,2,1)-WEEKDAY(DATE(연간_달력,2,1))</definedName>
    <definedName name="JanSun1">DATE(연간_달력,1,1)-WEEKDAY(DATE(연간_달력,1,1))</definedName>
    <definedName name="JulSun1">DATE(연간_달력,7,1)-WEEKDAY(DATE(연간_달력,7,1))</definedName>
    <definedName name="JunSun1">DATE(연간_달력,6,1)-WEEKDAY(DATE(연간_달력,6,1))</definedName>
    <definedName name="MarSun1">DATE(연간_달력,3,1)-WEEKDAY(DATE(연간_달력,3,1))</definedName>
    <definedName name="MaySun1">DATE(연간_달력,5,1)-WEEKDAY(DATE(연간_달력,5,1))</definedName>
    <definedName name="NovSun1">DATE(연간_달력,11,1)-WEEKDAY(DATE(연간_달력,11,1))</definedName>
    <definedName name="OctSun1">DATE(연간_달력,10,1)-WEEKDAY(DATE(연간_달력,10,1))</definedName>
    <definedName name="SepSun1">DATE(연간_달력,9,1)-WEEKDAY(DATE(연간_달력,9,1))</definedName>
    <definedName name="연간_달력">'1월'!$K$2</definedName>
    <definedName name="인쇄_영역" localSheetId="9">'10월'!$B$2:$J$16</definedName>
    <definedName name="인쇄_영역" localSheetId="10">'11월'!$B$2:$J$16</definedName>
    <definedName name="인쇄_영역" localSheetId="11">'12월'!$B$2:$J$16</definedName>
    <definedName name="인쇄_영역" localSheetId="0">'1월'!$B$2:$J$16</definedName>
    <definedName name="인쇄_영역" localSheetId="1">'2월'!$B$2:$J$16</definedName>
    <definedName name="인쇄_영역" localSheetId="2">'3월'!$B$2:$J$16</definedName>
    <definedName name="인쇄_영역" localSheetId="3">'4월'!$B$2:$J$16</definedName>
    <definedName name="인쇄_영역" localSheetId="4">'5월'!$B$2:$J$16</definedName>
    <definedName name="인쇄_영역" localSheetId="5">'6월'!$B$2:$J$16</definedName>
    <definedName name="인쇄_영역" localSheetId="6">'7월'!$B$2:$J$16</definedName>
    <definedName name="인쇄_영역" localSheetId="7">'8월'!$B$2:$J$16</definedName>
    <definedName name="인쇄_영역" localSheetId="8">'9월'!$B$2:$J$16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" i="6" l="1"/>
  <c r="B3" i="19" l="1"/>
  <c r="B3" i="18"/>
  <c r="B3" i="17"/>
  <c r="B3" i="16"/>
  <c r="B3" i="15"/>
  <c r="B3" i="14"/>
  <c r="B3" i="13"/>
  <c r="B3" i="12"/>
  <c r="B3" i="11"/>
  <c r="B3" i="10"/>
  <c r="B3" i="9"/>
  <c r="B5" i="6" l="1"/>
  <c r="D5" i="6"/>
  <c r="C15" i="11" l="1"/>
  <c r="B15" i="11"/>
  <c r="H13" i="11"/>
  <c r="G13" i="11"/>
  <c r="F13" i="11"/>
  <c r="E13" i="11"/>
  <c r="D13" i="11"/>
  <c r="C13" i="11"/>
  <c r="B13" i="11"/>
  <c r="H11" i="11"/>
  <c r="G11" i="11"/>
  <c r="F11" i="11"/>
  <c r="E11" i="11"/>
  <c r="D11" i="11"/>
  <c r="C11" i="11"/>
  <c r="B11" i="11"/>
  <c r="H9" i="11"/>
  <c r="G9" i="11"/>
  <c r="F9" i="11"/>
  <c r="E9" i="11"/>
  <c r="D9" i="11"/>
  <c r="C9" i="11"/>
  <c r="B9" i="11"/>
  <c r="H7" i="11"/>
  <c r="G7" i="11"/>
  <c r="F7" i="11"/>
  <c r="E7" i="11"/>
  <c r="D7" i="11"/>
  <c r="C7" i="11"/>
  <c r="B7" i="11"/>
  <c r="H5" i="11"/>
  <c r="G5" i="11"/>
  <c r="F5" i="11"/>
  <c r="E5" i="11"/>
  <c r="D5" i="11"/>
  <c r="C5" i="11"/>
  <c r="B5" i="11"/>
  <c r="C15" i="12"/>
  <c r="B15" i="12"/>
  <c r="H13" i="12"/>
  <c r="G13" i="12"/>
  <c r="F13" i="12"/>
  <c r="E13" i="12"/>
  <c r="D13" i="12"/>
  <c r="C13" i="12"/>
  <c r="B13" i="12"/>
  <c r="H11" i="12"/>
  <c r="G11" i="12"/>
  <c r="F11" i="12"/>
  <c r="E11" i="12"/>
  <c r="D11" i="12"/>
  <c r="C11" i="12"/>
  <c r="B11" i="12"/>
  <c r="H9" i="12"/>
  <c r="G9" i="12"/>
  <c r="F9" i="12"/>
  <c r="E9" i="12"/>
  <c r="D9" i="12"/>
  <c r="C9" i="12"/>
  <c r="B9" i="12"/>
  <c r="H7" i="12"/>
  <c r="G7" i="12"/>
  <c r="F7" i="12"/>
  <c r="E7" i="12"/>
  <c r="D7" i="12"/>
  <c r="C7" i="12"/>
  <c r="B7" i="12"/>
  <c r="H5" i="12"/>
  <c r="G5" i="12"/>
  <c r="F5" i="12"/>
  <c r="E5" i="12"/>
  <c r="D5" i="12"/>
  <c r="C5" i="12"/>
  <c r="B5" i="12"/>
  <c r="C15" i="13"/>
  <c r="B15" i="13"/>
  <c r="H13" i="13"/>
  <c r="G13" i="13"/>
  <c r="F13" i="13"/>
  <c r="E13" i="13"/>
  <c r="D13" i="13"/>
  <c r="C13" i="13"/>
  <c r="B13" i="13"/>
  <c r="H11" i="13"/>
  <c r="G11" i="13"/>
  <c r="F11" i="13"/>
  <c r="E11" i="13"/>
  <c r="D11" i="13"/>
  <c r="C11" i="13"/>
  <c r="B11" i="13"/>
  <c r="H9" i="13"/>
  <c r="G9" i="13"/>
  <c r="F9" i="13"/>
  <c r="E9" i="13"/>
  <c r="D9" i="13"/>
  <c r="C9" i="13"/>
  <c r="B9" i="13"/>
  <c r="H7" i="13"/>
  <c r="G7" i="13"/>
  <c r="F7" i="13"/>
  <c r="E7" i="13"/>
  <c r="D7" i="13"/>
  <c r="C7" i="13"/>
  <c r="B7" i="13"/>
  <c r="H5" i="13"/>
  <c r="G5" i="13"/>
  <c r="F5" i="13"/>
  <c r="E5" i="13"/>
  <c r="D5" i="13"/>
  <c r="C5" i="13"/>
  <c r="B5" i="13"/>
  <c r="C15" i="14"/>
  <c r="B15" i="14"/>
  <c r="H13" i="14"/>
  <c r="G13" i="14"/>
  <c r="F13" i="14"/>
  <c r="E13" i="14"/>
  <c r="D13" i="14"/>
  <c r="C13" i="14"/>
  <c r="B13" i="14"/>
  <c r="H11" i="14"/>
  <c r="G11" i="14"/>
  <c r="F11" i="14"/>
  <c r="E11" i="14"/>
  <c r="D11" i="14"/>
  <c r="C11" i="14"/>
  <c r="B11" i="14"/>
  <c r="H9" i="14"/>
  <c r="G9" i="14"/>
  <c r="F9" i="14"/>
  <c r="E9" i="14"/>
  <c r="D9" i="14"/>
  <c r="C9" i="14"/>
  <c r="B9" i="14"/>
  <c r="H7" i="14"/>
  <c r="G7" i="14"/>
  <c r="F7" i="14"/>
  <c r="E7" i="14"/>
  <c r="D7" i="14"/>
  <c r="C7" i="14"/>
  <c r="B7" i="14"/>
  <c r="H5" i="14"/>
  <c r="G5" i="14"/>
  <c r="F5" i="14"/>
  <c r="E5" i="14"/>
  <c r="D5" i="14"/>
  <c r="C5" i="14"/>
  <c r="B5" i="14"/>
  <c r="C15" i="15"/>
  <c r="B15" i="15"/>
  <c r="H13" i="15"/>
  <c r="G13" i="15"/>
  <c r="F13" i="15"/>
  <c r="E13" i="15"/>
  <c r="D13" i="15"/>
  <c r="C13" i="15"/>
  <c r="B13" i="15"/>
  <c r="H11" i="15"/>
  <c r="G11" i="15"/>
  <c r="F11" i="15"/>
  <c r="E11" i="15"/>
  <c r="D11" i="15"/>
  <c r="C11" i="15"/>
  <c r="B11" i="15"/>
  <c r="H9" i="15"/>
  <c r="G9" i="15"/>
  <c r="F9" i="15"/>
  <c r="E9" i="15"/>
  <c r="D9" i="15"/>
  <c r="C9" i="15"/>
  <c r="B9" i="15"/>
  <c r="H7" i="15"/>
  <c r="G7" i="15"/>
  <c r="F7" i="15"/>
  <c r="E7" i="15"/>
  <c r="D7" i="15"/>
  <c r="C7" i="15"/>
  <c r="B7" i="15"/>
  <c r="H5" i="15"/>
  <c r="G5" i="15"/>
  <c r="F5" i="15"/>
  <c r="E5" i="15"/>
  <c r="D5" i="15"/>
  <c r="C5" i="15"/>
  <c r="B5" i="15"/>
  <c r="C15" i="16"/>
  <c r="B15" i="16"/>
  <c r="H13" i="16"/>
  <c r="G13" i="16"/>
  <c r="F13" i="16"/>
  <c r="E13" i="16"/>
  <c r="D13" i="16"/>
  <c r="C13" i="16"/>
  <c r="B13" i="16"/>
  <c r="H11" i="16"/>
  <c r="G11" i="16"/>
  <c r="F11" i="16"/>
  <c r="E11" i="16"/>
  <c r="D11" i="16"/>
  <c r="C11" i="16"/>
  <c r="B11" i="16"/>
  <c r="H9" i="16"/>
  <c r="G9" i="16"/>
  <c r="F9" i="16"/>
  <c r="E9" i="16"/>
  <c r="D9" i="16"/>
  <c r="C9" i="16"/>
  <c r="B9" i="16"/>
  <c r="H7" i="16"/>
  <c r="G7" i="16"/>
  <c r="F7" i="16"/>
  <c r="E7" i="16"/>
  <c r="D7" i="16"/>
  <c r="C7" i="16"/>
  <c r="B7" i="16"/>
  <c r="H5" i="16"/>
  <c r="G5" i="16"/>
  <c r="F5" i="16"/>
  <c r="E5" i="16"/>
  <c r="D5" i="16"/>
  <c r="C5" i="16"/>
  <c r="B5" i="16"/>
  <c r="C15" i="17"/>
  <c r="B15" i="17"/>
  <c r="H13" i="17"/>
  <c r="G13" i="17"/>
  <c r="F13" i="17"/>
  <c r="E13" i="17"/>
  <c r="D13" i="17"/>
  <c r="C13" i="17"/>
  <c r="B13" i="17"/>
  <c r="H11" i="17"/>
  <c r="G11" i="17"/>
  <c r="F11" i="17"/>
  <c r="E11" i="17"/>
  <c r="D11" i="17"/>
  <c r="C11" i="17"/>
  <c r="B11" i="17"/>
  <c r="H9" i="17"/>
  <c r="G9" i="17"/>
  <c r="F9" i="17"/>
  <c r="E9" i="17"/>
  <c r="D9" i="17"/>
  <c r="C9" i="17"/>
  <c r="B9" i="17"/>
  <c r="H7" i="17"/>
  <c r="G7" i="17"/>
  <c r="F7" i="17"/>
  <c r="E7" i="17"/>
  <c r="D7" i="17"/>
  <c r="C7" i="17"/>
  <c r="B7" i="17"/>
  <c r="H5" i="17"/>
  <c r="G5" i="17"/>
  <c r="F5" i="17"/>
  <c r="E5" i="17"/>
  <c r="D5" i="17"/>
  <c r="C5" i="17"/>
  <c r="B5" i="17"/>
  <c r="C15" i="18"/>
  <c r="B15" i="18"/>
  <c r="H13" i="18"/>
  <c r="G13" i="18"/>
  <c r="F13" i="18"/>
  <c r="E13" i="18"/>
  <c r="D13" i="18"/>
  <c r="C13" i="18"/>
  <c r="B13" i="18"/>
  <c r="H11" i="18"/>
  <c r="G11" i="18"/>
  <c r="F11" i="18"/>
  <c r="E11" i="18"/>
  <c r="D11" i="18"/>
  <c r="C11" i="18"/>
  <c r="B11" i="18"/>
  <c r="H9" i="18"/>
  <c r="G9" i="18"/>
  <c r="F9" i="18"/>
  <c r="E9" i="18"/>
  <c r="D9" i="18"/>
  <c r="C9" i="18"/>
  <c r="B9" i="18"/>
  <c r="H7" i="18"/>
  <c r="G7" i="18"/>
  <c r="F7" i="18"/>
  <c r="E7" i="18"/>
  <c r="D7" i="18"/>
  <c r="C7" i="18"/>
  <c r="B7" i="18"/>
  <c r="H5" i="18"/>
  <c r="G5" i="18"/>
  <c r="F5" i="18"/>
  <c r="E5" i="18"/>
  <c r="D5" i="18"/>
  <c r="C5" i="18"/>
  <c r="B5" i="18"/>
  <c r="C15" i="19"/>
  <c r="B15" i="19"/>
  <c r="H13" i="19"/>
  <c r="G13" i="19"/>
  <c r="F13" i="19"/>
  <c r="E13" i="19"/>
  <c r="D13" i="19"/>
  <c r="C13" i="19"/>
  <c r="B13" i="19"/>
  <c r="H11" i="19"/>
  <c r="G11" i="19"/>
  <c r="F11" i="19"/>
  <c r="E11" i="19"/>
  <c r="D11" i="19"/>
  <c r="C11" i="19"/>
  <c r="B11" i="19"/>
  <c r="H9" i="19"/>
  <c r="G9" i="19"/>
  <c r="F9" i="19"/>
  <c r="E9" i="19"/>
  <c r="D9" i="19"/>
  <c r="C9" i="19"/>
  <c r="B9" i="19"/>
  <c r="H7" i="19"/>
  <c r="G7" i="19"/>
  <c r="F7" i="19"/>
  <c r="E7" i="19"/>
  <c r="D7" i="19"/>
  <c r="C7" i="19"/>
  <c r="B7" i="19"/>
  <c r="H5" i="19"/>
  <c r="G5" i="19"/>
  <c r="F5" i="19"/>
  <c r="E5" i="19"/>
  <c r="D5" i="19"/>
  <c r="C5" i="19"/>
  <c r="B5" i="19"/>
  <c r="C15" i="10"/>
  <c r="B15" i="10"/>
  <c r="H13" i="10"/>
  <c r="G13" i="10"/>
  <c r="F13" i="10"/>
  <c r="E13" i="10"/>
  <c r="D13" i="10"/>
  <c r="C13" i="10"/>
  <c r="B13" i="10"/>
  <c r="H11" i="10"/>
  <c r="G11" i="10"/>
  <c r="F11" i="10"/>
  <c r="E11" i="10"/>
  <c r="D11" i="10"/>
  <c r="C11" i="10"/>
  <c r="B11" i="10"/>
  <c r="H9" i="10"/>
  <c r="G9" i="10"/>
  <c r="F9" i="10"/>
  <c r="E9" i="10"/>
  <c r="D9" i="10"/>
  <c r="C9" i="10"/>
  <c r="B9" i="10"/>
  <c r="H7" i="10"/>
  <c r="G7" i="10"/>
  <c r="F7" i="10"/>
  <c r="E7" i="10"/>
  <c r="D7" i="10"/>
  <c r="C7" i="10"/>
  <c r="B7" i="10"/>
  <c r="H5" i="10"/>
  <c r="G5" i="10"/>
  <c r="F5" i="10"/>
  <c r="E5" i="10"/>
  <c r="D5" i="10"/>
  <c r="C5" i="10"/>
  <c r="B5" i="10"/>
  <c r="C15" i="9"/>
  <c r="B15" i="9"/>
  <c r="H13" i="9"/>
  <c r="G13" i="9"/>
  <c r="F13" i="9"/>
  <c r="E13" i="9"/>
  <c r="D13" i="9"/>
  <c r="C13" i="9"/>
  <c r="B13" i="9"/>
  <c r="H11" i="9"/>
  <c r="G11" i="9"/>
  <c r="F11" i="9"/>
  <c r="E11" i="9"/>
  <c r="D11" i="9"/>
  <c r="C11" i="9"/>
  <c r="B11" i="9"/>
  <c r="H9" i="9"/>
  <c r="G9" i="9"/>
  <c r="F9" i="9"/>
  <c r="E9" i="9"/>
  <c r="D9" i="9"/>
  <c r="C9" i="9"/>
  <c r="B9" i="9"/>
  <c r="H7" i="9"/>
  <c r="G7" i="9"/>
  <c r="F7" i="9"/>
  <c r="E7" i="9"/>
  <c r="D7" i="9"/>
  <c r="C7" i="9"/>
  <c r="B7" i="9"/>
  <c r="H5" i="9"/>
  <c r="G5" i="9"/>
  <c r="F5" i="9"/>
  <c r="E5" i="9"/>
  <c r="D5" i="9"/>
  <c r="C5" i="9"/>
  <c r="B5" i="9"/>
  <c r="C15" i="6" l="1"/>
  <c r="C5" i="6" l="1"/>
  <c r="E5" i="6"/>
  <c r="F5" i="6"/>
  <c r="G5" i="6"/>
  <c r="H5" i="6"/>
  <c r="B7" i="6"/>
  <c r="C7" i="6"/>
  <c r="D7" i="6"/>
  <c r="E7" i="6"/>
  <c r="F7" i="6"/>
  <c r="G7" i="6"/>
  <c r="H7" i="6"/>
  <c r="B9" i="6"/>
  <c r="C9" i="6"/>
  <c r="D9" i="6"/>
  <c r="E9" i="6"/>
  <c r="F9" i="6"/>
  <c r="G9" i="6"/>
  <c r="H9" i="6"/>
  <c r="B11" i="6"/>
  <c r="C11" i="6"/>
  <c r="D11" i="6"/>
  <c r="E11" i="6"/>
  <c r="F11" i="6"/>
  <c r="G11" i="6"/>
  <c r="H11" i="6"/>
  <c r="B13" i="6"/>
  <c r="C13" i="6"/>
  <c r="D13" i="6"/>
  <c r="E13" i="6"/>
  <c r="F13" i="6"/>
  <c r="G13" i="6"/>
  <c r="H13" i="6"/>
  <c r="B15" i="6"/>
</calcChain>
</file>

<file path=xl/sharedStrings.xml><?xml version="1.0" encoding="utf-8"?>
<sst xmlns="http://schemas.openxmlformats.org/spreadsheetml/2006/main" count="104" uniqueCount="16">
  <si>
    <t>연도 선택:</t>
  </si>
  <si>
    <t>월요일</t>
  </si>
  <si>
    <t>화요일</t>
  </si>
  <si>
    <t>수요일</t>
  </si>
  <si>
    <t>목요일</t>
  </si>
  <si>
    <t>금요일</t>
  </si>
  <si>
    <t>토요일</t>
  </si>
  <si>
    <t>일요일</t>
    <phoneticPr fontId="6" type="noConversion"/>
  </si>
  <si>
    <t>메모:</t>
  </si>
  <si>
    <t>오전 11시                   학원 원장에서            뉴스킨 사업가로           BD최은숙</t>
    <phoneticPr fontId="6" type="noConversion"/>
  </si>
  <si>
    <t xml:space="preserve">오전 11시            뉴스킨 사업설명                          1MC TE 이병진            </t>
    <phoneticPr fontId="6" type="noConversion"/>
  </si>
  <si>
    <t>오전 11시           에이지락 미와          뉴스킨 제품설명  BD이소영</t>
    <phoneticPr fontId="6" type="noConversion"/>
  </si>
  <si>
    <t xml:space="preserve">                 휴강</t>
    <phoneticPr fontId="6" type="noConversion"/>
  </si>
  <si>
    <t>오후 2시             에이지락 미           신제품 세미나       일산킨텍스</t>
    <phoneticPr fontId="6" type="noConversion"/>
  </si>
  <si>
    <r>
      <rPr>
        <sz val="11"/>
        <rFont val="08서울남산체 B"/>
        <family val="1"/>
        <charset val="129"/>
      </rPr>
      <t>오전 11시                 기초사업설명 및        에이지락미 시연</t>
    </r>
    <r>
      <rPr>
        <sz val="10"/>
        <rFont val="08서울남산체 B"/>
        <family val="1"/>
        <charset val="129"/>
      </rPr>
      <t xml:space="preserve">      </t>
    </r>
    <r>
      <rPr>
        <sz val="9"/>
        <rFont val="08서울남산체 B"/>
        <family val="1"/>
        <charset val="129"/>
      </rPr>
      <t>1MC TE 김형오,김은수</t>
    </r>
    <phoneticPr fontId="6" type="noConversion"/>
  </si>
  <si>
    <t>뉴 스 킨   수 원.광 교 센 터   9 월   일 정 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</si>
</sst>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d"/>
    <numFmt numFmtId="177" formatCode="mmmm\ yyyy"/>
    <numFmt numFmtId="178" formatCode="mmmm"/>
    <numFmt numFmtId="179" formatCode="yyyy&quot;年&quot;\ mm&quot;月&quot;"/>
  </numFmts>
  <fonts count="33">
    <font>
      <sz val="12"/>
      <color theme="1"/>
      <name val="Cambria"/>
      <family val="2"/>
      <scheme val="minor"/>
    </font>
    <font>
      <b/>
      <sz val="11"/>
      <color theme="0"/>
      <name val="Cambria"/>
      <family val="2"/>
      <scheme val="minor"/>
    </font>
    <font>
      <sz val="11"/>
      <name val="Cambria"/>
      <family val="2"/>
      <scheme val="minor"/>
    </font>
    <font>
      <sz val="10"/>
      <color indexed="63"/>
      <name val="Cambria"/>
      <family val="4"/>
      <scheme val="minor"/>
    </font>
    <font>
      <b/>
      <sz val="28"/>
      <color theme="1" tint="0.34998626667073579"/>
      <name val="Cambria"/>
      <family val="2"/>
      <scheme val="minor"/>
    </font>
    <font>
      <u/>
      <sz val="12"/>
      <color theme="10"/>
      <name val="Cambria"/>
      <family val="2"/>
      <scheme val="minor"/>
    </font>
    <font>
      <sz val="8"/>
      <name val="돋움"/>
      <family val="3"/>
      <charset val="129"/>
      <scheme val="minor"/>
    </font>
    <font>
      <sz val="11"/>
      <name val="맑은 고딕"/>
      <family val="3"/>
      <charset val="129"/>
    </font>
    <font>
      <sz val="11"/>
      <color theme="8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24"/>
      <color theme="8"/>
      <name val="맑은 고딕"/>
      <family val="3"/>
      <charset val="129"/>
    </font>
    <font>
      <sz val="40"/>
      <color theme="8"/>
      <name val="맑은 고딕"/>
      <family val="3"/>
      <charset val="129"/>
    </font>
    <font>
      <b/>
      <sz val="9"/>
      <color theme="8"/>
      <name val="맑은 고딕"/>
      <family val="3"/>
      <charset val="129"/>
    </font>
    <font>
      <sz val="28"/>
      <color theme="8" tint="-0.499984740745262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9"/>
      <name val="맑은 고딕"/>
      <family val="3"/>
      <charset val="129"/>
    </font>
    <font>
      <b/>
      <sz val="11"/>
      <color theme="8"/>
      <name val="맑은 고딕"/>
      <family val="3"/>
      <charset val="129"/>
    </font>
    <font>
      <sz val="11"/>
      <color theme="0" tint="-0.499984740745262"/>
      <name val="맑은 고딕"/>
      <family val="3"/>
      <charset val="129"/>
    </font>
    <font>
      <u/>
      <sz val="12"/>
      <color theme="10"/>
      <name val="맑은 고딕"/>
      <family val="3"/>
      <charset val="129"/>
    </font>
    <font>
      <sz val="11"/>
      <name val="08서울남산체 B"/>
      <family val="1"/>
      <charset val="129"/>
    </font>
    <font>
      <sz val="26"/>
      <name val="08서울남산체 B"/>
      <family val="1"/>
      <charset val="129"/>
    </font>
    <font>
      <sz val="40"/>
      <name val="맑은 고딕"/>
      <family val="3"/>
      <charset val="129"/>
    </font>
    <font>
      <sz val="12"/>
      <name val="맑은 고딕"/>
      <family val="3"/>
      <charset val="129"/>
    </font>
    <font>
      <b/>
      <sz val="9"/>
      <name val="맑은 고딕"/>
      <family val="3"/>
      <charset val="129"/>
    </font>
    <font>
      <b/>
      <sz val="9"/>
      <name val="08서울남산체 B"/>
      <family val="1"/>
      <charset val="129"/>
    </font>
    <font>
      <sz val="28"/>
      <name val="맑은 고딕"/>
      <family val="3"/>
      <charset val="129"/>
    </font>
    <font>
      <sz val="10"/>
      <name val="08서울남산체 B"/>
      <family val="1"/>
      <charset val="129"/>
    </font>
    <font>
      <sz val="9"/>
      <name val="08서울남산체 B"/>
      <family val="1"/>
      <charset val="129"/>
    </font>
    <font>
      <sz val="18"/>
      <name val="맑은 고딕"/>
      <family val="3"/>
      <charset val="129"/>
    </font>
    <font>
      <sz val="16"/>
      <name val="08서울남산체 B"/>
      <family val="1"/>
      <charset val="129"/>
    </font>
    <font>
      <b/>
      <sz val="11"/>
      <name val="맑은 고딕"/>
      <family val="3"/>
      <charset val="129"/>
    </font>
    <font>
      <u/>
      <sz val="12"/>
      <name val="08서울남산체 B"/>
      <family val="1"/>
      <charset val="129"/>
    </font>
    <font>
      <sz val="11"/>
      <color rgb="FFFF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  <border>
      <left/>
      <right/>
      <top style="thin">
        <color theme="8"/>
      </top>
      <bottom style="thin">
        <color theme="8"/>
      </bottom>
      <diagonal/>
    </border>
    <border>
      <left/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8"/>
      </left>
      <right style="thin">
        <color theme="7"/>
      </right>
      <top style="thin">
        <color theme="8"/>
      </top>
      <bottom/>
      <diagonal/>
    </border>
    <border>
      <left style="thin">
        <color theme="7"/>
      </left>
      <right style="thin">
        <color theme="7"/>
      </right>
      <top style="thin">
        <color theme="8"/>
      </top>
      <bottom/>
      <diagonal/>
    </border>
    <border>
      <left style="thin">
        <color theme="7"/>
      </left>
      <right style="thin">
        <color theme="8"/>
      </right>
      <top style="thin">
        <color theme="8"/>
      </top>
      <bottom/>
      <diagonal/>
    </border>
    <border>
      <left/>
      <right/>
      <top/>
      <bottom style="thin">
        <color theme="8"/>
      </bottom>
      <diagonal/>
    </border>
    <border>
      <left/>
      <right style="thin">
        <color theme="8"/>
      </right>
      <top/>
      <bottom style="thin">
        <color theme="8"/>
      </bottom>
      <diagonal/>
    </border>
    <border>
      <left style="thin">
        <color theme="8"/>
      </left>
      <right style="thin">
        <color theme="8"/>
      </right>
      <top/>
      <bottom style="thin">
        <color theme="8"/>
      </bottom>
      <diagonal/>
    </border>
    <border>
      <left style="thin">
        <color theme="8"/>
      </left>
      <right style="thin">
        <color theme="8"/>
      </right>
      <top style="thin">
        <color theme="8"/>
      </top>
      <bottom/>
      <diagonal/>
    </border>
    <border>
      <left style="thin">
        <color theme="8"/>
      </left>
      <right style="thin">
        <color theme="8"/>
      </right>
      <top/>
      <bottom/>
      <diagonal/>
    </border>
    <border>
      <left style="thin">
        <color theme="8"/>
      </left>
      <right/>
      <top/>
      <bottom/>
      <diagonal/>
    </border>
    <border>
      <left style="thin">
        <color theme="8"/>
      </left>
      <right/>
      <top/>
      <bottom style="thin">
        <color theme="8"/>
      </bottom>
      <diagonal/>
    </border>
    <border>
      <left style="thin">
        <color theme="8"/>
      </left>
      <right/>
      <top style="thin">
        <color theme="8"/>
      </top>
      <bottom/>
      <diagonal/>
    </border>
    <border>
      <left/>
      <right/>
      <top style="thin">
        <color theme="8"/>
      </top>
      <bottom/>
      <diagonal/>
    </border>
    <border>
      <left/>
      <right style="thin">
        <color theme="8"/>
      </right>
      <top style="thin">
        <color theme="8"/>
      </top>
      <bottom/>
      <diagonal/>
    </border>
  </borders>
  <cellStyleXfs count="6">
    <xf numFmtId="0" fontId="0" fillId="0" borderId="0"/>
    <xf numFmtId="0" fontId="2" fillId="0" borderId="0"/>
    <xf numFmtId="0" fontId="1" fillId="2" borderId="1" applyNumberFormat="0" applyAlignment="0" applyProtection="0"/>
    <xf numFmtId="0" fontId="3" fillId="3" borderId="0" applyNumberFormat="0" applyBorder="0" applyAlignment="0" applyProtection="0"/>
    <xf numFmtId="0" fontId="4" fillId="0" borderId="0" applyNumberFormat="0" applyFill="0" applyAlignment="0" applyProtection="0"/>
    <xf numFmtId="0" fontId="5" fillId="0" borderId="0" applyNumberFormat="0" applyFill="0" applyBorder="0" applyAlignment="0" applyProtection="0"/>
  </cellStyleXfs>
  <cellXfs count="78">
    <xf numFmtId="0" fontId="0" fillId="0" borderId="0" xfId="0"/>
    <xf numFmtId="0" fontId="7" fillId="0" borderId="0" xfId="1" applyFont="1"/>
    <xf numFmtId="0" fontId="8" fillId="0" borderId="0" xfId="1" applyFont="1" applyFill="1" applyAlignment="1">
      <alignment horizontal="right"/>
    </xf>
    <xf numFmtId="0" fontId="9" fillId="0" borderId="0" xfId="0" applyFont="1" applyFill="1"/>
    <xf numFmtId="0" fontId="7" fillId="5" borderId="0" xfId="1" applyFont="1" applyFill="1"/>
    <xf numFmtId="0" fontId="10" fillId="0" borderId="0" xfId="0" applyFont="1" applyFill="1" applyAlignment="1">
      <alignment horizontal="right" vertical="top"/>
    </xf>
    <xf numFmtId="0" fontId="9" fillId="0" borderId="0" xfId="0" applyFont="1"/>
    <xf numFmtId="179" fontId="7" fillId="0" borderId="0" xfId="1" applyNumberFormat="1" applyFont="1"/>
    <xf numFmtId="31" fontId="12" fillId="0" borderId="2" xfId="2" applyNumberFormat="1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center" vertical="center"/>
    </xf>
    <xf numFmtId="178" fontId="9" fillId="0" borderId="0" xfId="0" applyNumberFormat="1" applyFont="1"/>
    <xf numFmtId="176" fontId="8" fillId="4" borderId="11" xfId="1" applyNumberFormat="1" applyFont="1" applyFill="1" applyBorder="1" applyAlignment="1">
      <alignment horizontal="left" vertical="top" wrapText="1"/>
    </xf>
    <xf numFmtId="178" fontId="13" fillId="0" borderId="0" xfId="0" applyNumberFormat="1" applyFont="1" applyFill="1" applyBorder="1" applyAlignment="1">
      <alignment vertical="center" textRotation="90"/>
    </xf>
    <xf numFmtId="0" fontId="14" fillId="0" borderId="0" xfId="1" applyFont="1"/>
    <xf numFmtId="0" fontId="15" fillId="4" borderId="10" xfId="1" applyFont="1" applyFill="1" applyBorder="1" applyAlignment="1">
      <alignment horizontal="center" vertical="top" wrapText="1"/>
    </xf>
    <xf numFmtId="0" fontId="15" fillId="4" borderId="10" xfId="3" applyFont="1" applyFill="1" applyBorder="1" applyAlignment="1">
      <alignment horizontal="center" vertical="top" wrapText="1"/>
    </xf>
    <xf numFmtId="176" fontId="8" fillId="0" borderId="11" xfId="1" applyNumberFormat="1" applyFont="1" applyFill="1" applyBorder="1" applyAlignment="1">
      <alignment horizontal="left" vertical="top" wrapText="1"/>
    </xf>
    <xf numFmtId="0" fontId="15" fillId="0" borderId="10" xfId="1" applyFont="1" applyFill="1" applyBorder="1" applyAlignment="1">
      <alignment horizontal="center" vertical="top" wrapText="1"/>
    </xf>
    <xf numFmtId="0" fontId="15" fillId="0" borderId="10" xfId="3" applyFont="1" applyFill="1" applyBorder="1" applyAlignment="1">
      <alignment horizontal="center" vertical="top" wrapText="1"/>
    </xf>
    <xf numFmtId="176" fontId="8" fillId="4" borderId="12" xfId="1" applyNumberFormat="1" applyFont="1" applyFill="1" applyBorder="1" applyAlignment="1">
      <alignment horizontal="left" vertical="top" wrapText="1"/>
    </xf>
    <xf numFmtId="176" fontId="8" fillId="0" borderId="12" xfId="1" applyNumberFormat="1" applyFont="1" applyFill="1" applyBorder="1" applyAlignment="1">
      <alignment horizontal="left" vertical="top" wrapText="1"/>
    </xf>
    <xf numFmtId="176" fontId="8" fillId="0" borderId="13" xfId="1" applyNumberFormat="1" applyFont="1" applyFill="1" applyBorder="1" applyAlignment="1">
      <alignment horizontal="left" vertical="top" wrapText="1"/>
    </xf>
    <xf numFmtId="0" fontId="17" fillId="0" borderId="0" xfId="1" applyFont="1" applyAlignment="1">
      <alignment horizontal="right"/>
    </xf>
    <xf numFmtId="0" fontId="17" fillId="0" borderId="0" xfId="1" applyFont="1" applyAlignment="1">
      <alignment horizontal="center"/>
    </xf>
    <xf numFmtId="0" fontId="18" fillId="0" borderId="0" xfId="5" applyFont="1"/>
    <xf numFmtId="0" fontId="12" fillId="0" borderId="2" xfId="2" applyFont="1" applyFill="1" applyBorder="1" applyAlignment="1">
      <alignment horizontal="center" vertical="center"/>
    </xf>
    <xf numFmtId="0" fontId="19" fillId="4" borderId="10" xfId="1" applyFont="1" applyFill="1" applyBorder="1" applyAlignment="1">
      <alignment horizontal="center" vertical="top" wrapText="1"/>
    </xf>
    <xf numFmtId="0" fontId="16" fillId="0" borderId="14" xfId="2" applyFont="1" applyFill="1" applyBorder="1" applyAlignment="1">
      <alignment horizontal="left" vertical="top" wrapText="1"/>
    </xf>
    <xf numFmtId="0" fontId="16" fillId="0" borderId="8" xfId="2" applyFont="1" applyFill="1" applyBorder="1" applyAlignment="1">
      <alignment horizontal="left" vertical="top" wrapText="1"/>
    </xf>
    <xf numFmtId="0" fontId="16" fillId="0" borderId="9" xfId="2" applyFont="1" applyFill="1" applyBorder="1" applyAlignment="1">
      <alignment horizontal="left" vertical="top" wrapText="1"/>
    </xf>
    <xf numFmtId="176" fontId="12" fillId="0" borderId="15" xfId="2" applyNumberFormat="1" applyFont="1" applyFill="1" applyBorder="1" applyAlignment="1">
      <alignment horizontal="left" vertical="center" wrapText="1"/>
    </xf>
    <xf numFmtId="176" fontId="12" fillId="0" borderId="16" xfId="2" applyNumberFormat="1" applyFont="1" applyFill="1" applyBorder="1" applyAlignment="1">
      <alignment horizontal="left" vertical="center" wrapText="1"/>
    </xf>
    <xf numFmtId="176" fontId="12" fillId="0" borderId="17" xfId="2" applyNumberFormat="1" applyFont="1" applyFill="1" applyBorder="1" applyAlignment="1">
      <alignment horizontal="left" vertical="center" wrapText="1"/>
    </xf>
    <xf numFmtId="177" fontId="11" fillId="0" borderId="0" xfId="1" applyNumberFormat="1" applyFont="1" applyBorder="1" applyAlignment="1">
      <alignment horizontal="left" vertical="center"/>
    </xf>
    <xf numFmtId="0" fontId="20" fillId="5" borderId="0" xfId="1" applyFont="1" applyFill="1" applyAlignment="1">
      <alignment horizontal="center"/>
    </xf>
    <xf numFmtId="176" fontId="12" fillId="0" borderId="5" xfId="2" applyNumberFormat="1" applyFont="1" applyFill="1" applyBorder="1" applyAlignment="1">
      <alignment horizontal="left" vertical="center" wrapText="1"/>
    </xf>
    <xf numFmtId="176" fontId="12" fillId="0" borderId="6" xfId="2" applyNumberFormat="1" applyFont="1" applyFill="1" applyBorder="1" applyAlignment="1">
      <alignment horizontal="left" vertical="center" wrapText="1"/>
    </xf>
    <xf numFmtId="176" fontId="12" fillId="0" borderId="7" xfId="2" applyNumberFormat="1" applyFont="1" applyFill="1" applyBorder="1" applyAlignment="1">
      <alignment horizontal="left" vertical="center" wrapText="1"/>
    </xf>
    <xf numFmtId="177" fontId="21" fillId="0" borderId="0" xfId="1" applyNumberFormat="1" applyFont="1" applyBorder="1" applyAlignment="1">
      <alignment horizontal="left" vertical="center"/>
    </xf>
    <xf numFmtId="0" fontId="22" fillId="0" borderId="0" xfId="0" applyFont="1"/>
    <xf numFmtId="0" fontId="19" fillId="0" borderId="0" xfId="1" applyFont="1"/>
    <xf numFmtId="0" fontId="23" fillId="0" borderId="2" xfId="2" applyFont="1" applyFill="1" applyBorder="1" applyAlignment="1">
      <alignment horizontal="center" vertical="center"/>
    </xf>
    <xf numFmtId="0" fontId="23" fillId="0" borderId="3" xfId="2" applyFont="1" applyFill="1" applyBorder="1" applyAlignment="1">
      <alignment horizontal="center" vertical="center"/>
    </xf>
    <xf numFmtId="0" fontId="24" fillId="0" borderId="3" xfId="2" applyFont="1" applyFill="1" applyBorder="1" applyAlignment="1">
      <alignment horizontal="center" vertical="center"/>
    </xf>
    <xf numFmtId="0" fontId="23" fillId="0" borderId="4" xfId="2" applyFont="1" applyFill="1" applyBorder="1" applyAlignment="1">
      <alignment horizontal="center" vertical="center"/>
    </xf>
    <xf numFmtId="178" fontId="22" fillId="0" borderId="0" xfId="0" applyNumberFormat="1" applyFont="1"/>
    <xf numFmtId="176" fontId="7" fillId="4" borderId="11" xfId="1" applyNumberFormat="1" applyFont="1" applyFill="1" applyBorder="1" applyAlignment="1">
      <alignment horizontal="left" vertical="top" wrapText="1"/>
    </xf>
    <xf numFmtId="176" fontId="19" fillId="4" borderId="11" xfId="1" applyNumberFormat="1" applyFont="1" applyFill="1" applyBorder="1" applyAlignment="1">
      <alignment horizontal="left" vertical="top" wrapText="1"/>
    </xf>
    <xf numFmtId="178" fontId="25" fillId="0" borderId="0" xfId="0" applyNumberFormat="1" applyFont="1" applyFill="1" applyBorder="1" applyAlignment="1">
      <alignment vertical="center" textRotation="90"/>
    </xf>
    <xf numFmtId="0" fontId="14" fillId="4" borderId="10" xfId="1" applyFont="1" applyFill="1" applyBorder="1" applyAlignment="1">
      <alignment horizontal="center" vertical="top" wrapText="1"/>
    </xf>
    <xf numFmtId="0" fontId="26" fillId="4" borderId="10" xfId="1" applyFont="1" applyFill="1" applyBorder="1" applyAlignment="1">
      <alignment horizontal="center" vertical="top" wrapText="1"/>
    </xf>
    <xf numFmtId="0" fontId="14" fillId="4" borderId="10" xfId="3" applyFont="1" applyFill="1" applyBorder="1" applyAlignment="1">
      <alignment horizontal="center" vertical="top" wrapText="1"/>
    </xf>
    <xf numFmtId="176" fontId="7" fillId="0" borderId="11" xfId="1" applyNumberFormat="1" applyFont="1" applyFill="1" applyBorder="1" applyAlignment="1">
      <alignment horizontal="left" vertical="top" wrapText="1"/>
    </xf>
    <xf numFmtId="176" fontId="19" fillId="0" borderId="11" xfId="1" applyNumberFormat="1" applyFont="1" applyFill="1" applyBorder="1" applyAlignment="1">
      <alignment horizontal="left" vertical="top" wrapText="1"/>
    </xf>
    <xf numFmtId="0" fontId="14" fillId="0" borderId="10" xfId="1" applyFont="1" applyFill="1" applyBorder="1" applyAlignment="1">
      <alignment horizontal="center" vertical="top" wrapText="1"/>
    </xf>
    <xf numFmtId="0" fontId="19" fillId="0" borderId="10" xfId="1" applyFont="1" applyFill="1" applyBorder="1" applyAlignment="1">
      <alignment horizontal="center" vertical="top" wrapText="1"/>
    </xf>
    <xf numFmtId="0" fontId="14" fillId="0" borderId="10" xfId="3" applyFont="1" applyFill="1" applyBorder="1" applyAlignment="1">
      <alignment horizontal="center" vertical="top" wrapText="1"/>
    </xf>
    <xf numFmtId="176" fontId="7" fillId="4" borderId="12" xfId="1" applyNumberFormat="1" applyFont="1" applyFill="1" applyBorder="1" applyAlignment="1">
      <alignment horizontal="left" vertical="top" wrapText="1"/>
    </xf>
    <xf numFmtId="176" fontId="19" fillId="4" borderId="12" xfId="1" applyNumberFormat="1" applyFont="1" applyFill="1" applyBorder="1" applyAlignment="1">
      <alignment horizontal="left" vertical="top" wrapText="1"/>
    </xf>
    <xf numFmtId="176" fontId="7" fillId="0" borderId="12" xfId="1" applyNumberFormat="1" applyFont="1" applyFill="1" applyBorder="1" applyAlignment="1">
      <alignment horizontal="left" vertical="top" wrapText="1"/>
    </xf>
    <xf numFmtId="176" fontId="19" fillId="0" borderId="12" xfId="1" applyNumberFormat="1" applyFont="1" applyFill="1" applyBorder="1" applyAlignment="1">
      <alignment horizontal="left" vertical="top" wrapText="1"/>
    </xf>
    <xf numFmtId="0" fontId="28" fillId="0" borderId="10" xfId="3" applyFont="1" applyFill="1" applyBorder="1" applyAlignment="1">
      <alignment horizontal="center" vertical="top" wrapText="1"/>
    </xf>
    <xf numFmtId="0" fontId="28" fillId="4" borderId="10" xfId="1" applyFont="1" applyFill="1" applyBorder="1" applyAlignment="1">
      <alignment horizontal="center" vertical="top" wrapText="1"/>
    </xf>
    <xf numFmtId="0" fontId="29" fillId="4" borderId="10" xfId="1" applyFont="1" applyFill="1" applyBorder="1" applyAlignment="1">
      <alignment horizontal="center" vertical="top" wrapText="1"/>
    </xf>
    <xf numFmtId="176" fontId="7" fillId="0" borderId="13" xfId="1" applyNumberFormat="1" applyFont="1" applyFill="1" applyBorder="1" applyAlignment="1">
      <alignment horizontal="left" vertical="top" wrapText="1"/>
    </xf>
    <xf numFmtId="176" fontId="23" fillId="0" borderId="15" xfId="2" applyNumberFormat="1" applyFont="1" applyFill="1" applyBorder="1" applyAlignment="1">
      <alignment horizontal="left" vertical="center" wrapText="1"/>
    </xf>
    <xf numFmtId="176" fontId="23" fillId="0" borderId="16" xfId="2" applyNumberFormat="1" applyFont="1" applyFill="1" applyBorder="1" applyAlignment="1">
      <alignment horizontal="left" vertical="center" wrapText="1"/>
    </xf>
    <xf numFmtId="176" fontId="23" fillId="0" borderId="17" xfId="2" applyNumberFormat="1" applyFont="1" applyFill="1" applyBorder="1" applyAlignment="1">
      <alignment horizontal="left" vertical="center" wrapText="1"/>
    </xf>
    <xf numFmtId="0" fontId="30" fillId="0" borderId="14" xfId="2" applyFont="1" applyFill="1" applyBorder="1" applyAlignment="1">
      <alignment horizontal="left" vertical="top" wrapText="1"/>
    </xf>
    <xf numFmtId="0" fontId="30" fillId="0" borderId="8" xfId="2" applyFont="1" applyFill="1" applyBorder="1" applyAlignment="1">
      <alignment horizontal="left" vertical="top" wrapText="1"/>
    </xf>
    <xf numFmtId="0" fontId="30" fillId="0" borderId="9" xfId="2" applyFont="1" applyFill="1" applyBorder="1" applyAlignment="1">
      <alignment horizontal="left" vertical="top" wrapText="1"/>
    </xf>
    <xf numFmtId="0" fontId="7" fillId="0" borderId="0" xfId="1" applyFont="1" applyAlignment="1">
      <alignment horizontal="right"/>
    </xf>
    <xf numFmtId="0" fontId="7" fillId="0" borderId="0" xfId="1" applyFont="1" applyAlignment="1">
      <alignment horizontal="center"/>
    </xf>
    <xf numFmtId="0" fontId="31" fillId="0" borderId="0" xfId="5" applyFont="1"/>
    <xf numFmtId="176" fontId="32" fillId="0" borderId="12" xfId="1" applyNumberFormat="1" applyFont="1" applyFill="1" applyBorder="1" applyAlignment="1">
      <alignment horizontal="left" vertical="top" wrapText="1"/>
    </xf>
    <xf numFmtId="176" fontId="32" fillId="4" borderId="12" xfId="1" applyNumberFormat="1" applyFont="1" applyFill="1" applyBorder="1" applyAlignment="1">
      <alignment horizontal="left" vertical="top" wrapText="1"/>
    </xf>
    <xf numFmtId="176" fontId="32" fillId="0" borderId="11" xfId="1" applyNumberFormat="1" applyFont="1" applyFill="1" applyBorder="1" applyAlignment="1">
      <alignment horizontal="left" vertical="top" wrapText="1"/>
    </xf>
  </cellXfs>
  <cellStyles count="6">
    <cellStyle name="40% - Accent1 2" xfId="3"/>
    <cellStyle name="Accent1 2" xfId="2"/>
    <cellStyle name="Heading 1 2" xfId="4"/>
    <cellStyle name="Normal 2" xfId="1"/>
    <cellStyle name="표준" xfId="0" builtinId="0" customBuiltin="1"/>
    <cellStyle name="하이퍼링크" xfId="5" builtinId="8"/>
  </cellStyles>
  <dxfs count="11">
    <dxf>
      <font>
        <b/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top style="double">
          <color theme="6" tint="-0.24994659260841701"/>
        </top>
      </border>
    </dxf>
    <dxf>
      <font>
        <color theme="0"/>
      </font>
      <fill>
        <patternFill patternType="solid">
          <fgColor theme="4"/>
          <bgColor theme="7"/>
        </patternFill>
      </fill>
      <border diagonalUp="0" diagonalDown="0">
        <left/>
        <right/>
        <top/>
        <bottom/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9" tint="0.59996337778862885"/>
        </left>
        <right style="thin">
          <color theme="9" tint="0.59996337778862885"/>
        </right>
        <top style="thin">
          <color theme="9" tint="0.59996337778862885"/>
        </top>
        <bottom style="thin">
          <color theme="9" tint="0.59996337778862885"/>
        </bottom>
        <vertical/>
        <horizontal style="dashDotDot">
          <color theme="9" tint="0.59996337778862885"/>
        </horizontal>
      </border>
    </dxf>
    <dxf>
      <fill>
        <patternFill patternType="solid">
          <fgColor theme="9" tint="0.79998168889431442"/>
          <bgColor theme="9" tint="0.79998168889431442"/>
        </patternFill>
      </fill>
    </dxf>
    <dxf>
      <fill>
        <patternFill patternType="solid">
          <fgColor theme="9" tint="0.79998168889431442"/>
          <bgColor theme="9" tint="0.79998168889431442"/>
        </patternFill>
      </fill>
    </dxf>
    <dxf>
      <font>
        <b/>
        <color theme="9" tint="-0.249977111117893"/>
      </font>
    </dxf>
    <dxf>
      <font>
        <b/>
        <color theme="9" tint="-0.249977111117893"/>
      </font>
    </dxf>
    <dxf>
      <font>
        <b/>
        <color theme="9" tint="-0.249977111117893"/>
      </font>
      <border>
        <top style="thin">
          <color theme="9"/>
        </top>
      </border>
    </dxf>
    <dxf>
      <font>
        <b/>
        <color theme="9" tint="-0.249977111117893"/>
      </font>
      <border>
        <bottom style="thin">
          <color theme="9"/>
        </bottom>
      </border>
    </dxf>
    <dxf>
      <font>
        <color theme="9" tint="-0.249977111117893"/>
      </font>
      <fill>
        <patternFill>
          <bgColor theme="0"/>
        </patternFill>
      </fill>
      <border>
        <top style="thin">
          <color theme="9"/>
        </top>
        <bottom style="thin">
          <color theme="9"/>
        </bottom>
      </border>
    </dxf>
  </dxfs>
  <tableStyles count="2" defaultTableStyle="TableStyleMedium2" defaultPivotStyle="PivotStyleLight16">
    <tableStyle name="TableStyleLight7 2" pivot="0" count="7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  <tableStyleElement type="firstColumnStripe" dxfId="4"/>
    </tableStyle>
    <tableStyle name="TableStyleLight9 2" pivot="0" count="4">
      <tableStyleElement type="wholeTable" dxfId="3"/>
      <tableStyleElement type="headerRow" dxfId="2"/>
      <tableStyleElement type="totalRow" dxfId="1"/>
      <tableStyleElement type="firstColumn" dxfId="0"/>
    </tableStyle>
  </tableStyles>
  <colors>
    <mruColors>
      <color rgb="FFC17529"/>
      <color rgb="FFFDFDFD"/>
      <color rgb="FFA19574"/>
      <color rgb="FFEAE8EA"/>
      <color rgb="FFEAE8E0"/>
      <color rgb="FFA1A9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연간_달력" max="2999" min="1900" page="10" val="2015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g"/><Relationship Id="rId1" Type="http://schemas.openxmlformats.org/officeDocument/2006/relationships/image" Target="../media/image7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g"/><Relationship Id="rId1" Type="http://schemas.openxmlformats.org/officeDocument/2006/relationships/image" Target="../media/image9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jpg"/><Relationship Id="rId1" Type="http://schemas.openxmlformats.org/officeDocument/2006/relationships/image" Target="../media/image11.jp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jpg"/><Relationship Id="rId1" Type="http://schemas.openxmlformats.org/officeDocument/2006/relationships/image" Target="../media/image13.jp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6.jpg"/><Relationship Id="rId1" Type="http://schemas.openxmlformats.org/officeDocument/2006/relationships/image" Target="../media/image15.jp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jpg"/><Relationship Id="rId1" Type="http://schemas.openxmlformats.org/officeDocument/2006/relationships/image" Target="../media/image17.jp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jpe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2.jpg"/><Relationship Id="rId1" Type="http://schemas.openxmlformats.org/officeDocument/2006/relationships/image" Target="../media/image21.jp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4.jpg"/><Relationship Id="rId1" Type="http://schemas.openxmlformats.org/officeDocument/2006/relationships/image" Target="../media/image23.jp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jpg"/><Relationship Id="rId1" Type="http://schemas.openxmlformats.org/officeDocument/2006/relationships/image" Target="../media/image2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336852</xdr:colOff>
      <xdr:row>3</xdr:row>
      <xdr:rowOff>41234</xdr:rowOff>
    </xdr:from>
    <xdr:to>
      <xdr:col>9</xdr:col>
      <xdr:colOff>1035429</xdr:colOff>
      <xdr:row>7</xdr:row>
      <xdr:rowOff>517174</xdr:rowOff>
    </xdr:to>
    <xdr:pic>
      <xdr:nvPicPr>
        <xdr:cNvPr id="3" name="그림 2" descr="냄비에 담긴 프랑스풍 양갈비" title="1월 이미지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71252" y="1146134"/>
          <a:ext cx="1879677" cy="2009465"/>
        </a:xfrm>
        <a:prstGeom prst="rect">
          <a:avLst/>
        </a:prstGeom>
        <a:solidFill>
          <a:srgbClr val="FFFFFF">
            <a:shade val="85000"/>
          </a:srgbClr>
        </a:solidFill>
        <a:ln w="38100" cap="sq">
          <a:solidFill>
            <a:schemeClr val="accent5">
              <a:lumMod val="20000"/>
              <a:lumOff val="80000"/>
            </a:schemeClr>
          </a:solidFill>
          <a:miter lim="800000"/>
        </a:ln>
        <a:effectLst/>
        <a:scene3d>
          <a:camera prst="orthographicFront"/>
          <a:lightRig rig="twoPt" dir="t">
            <a:rot lat="0" lon="0" rev="7200000"/>
          </a:lightRig>
        </a:scene3d>
        <a:sp3d>
          <a:contourClr>
            <a:srgbClr val="FFFFFF"/>
          </a:contourClr>
        </a:sp3d>
      </xdr:spPr>
    </xdr:pic>
    <xdr:clientData/>
  </xdr:twoCellAnchor>
  <xdr:twoCellAnchor>
    <xdr:from>
      <xdr:col>8</xdr:col>
      <xdr:colOff>336852</xdr:colOff>
      <xdr:row>7</xdr:row>
      <xdr:rowOff>645080</xdr:rowOff>
    </xdr:from>
    <xdr:to>
      <xdr:col>9</xdr:col>
      <xdr:colOff>1035429</xdr:colOff>
      <xdr:row>11</xdr:row>
      <xdr:rowOff>633915</xdr:rowOff>
    </xdr:to>
    <xdr:pic>
      <xdr:nvPicPr>
        <xdr:cNvPr id="21" name="그림 20" descr="직사각형 그릇에 담긴 다양한 양념" title="1월 이미지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71252" y="3283505"/>
          <a:ext cx="1879677" cy="2008135"/>
        </a:xfrm>
        <a:prstGeom prst="rect">
          <a:avLst/>
        </a:prstGeom>
        <a:solidFill>
          <a:srgbClr val="FFFFFF">
            <a:shade val="85000"/>
          </a:srgbClr>
        </a:solidFill>
        <a:ln w="38100" cap="sq">
          <a:solidFill>
            <a:schemeClr val="accent5">
              <a:lumMod val="20000"/>
              <a:lumOff val="80000"/>
            </a:schemeClr>
          </a:solidFill>
          <a:miter lim="800000"/>
        </a:ln>
        <a:effectLst/>
        <a:scene3d>
          <a:camera prst="orthographicFront"/>
          <a:lightRig rig="twoPt" dir="t">
            <a:rot lat="0" lon="0" rev="7200000"/>
          </a:lightRig>
        </a:scene3d>
        <a:sp3d>
          <a:contourClr>
            <a:srgbClr val="FFFFFF"/>
          </a:contourClr>
        </a:sp3d>
      </xdr:spPr>
    </xdr:pic>
    <xdr:clientData/>
  </xdr:twoCellAnchor>
  <xdr:twoCellAnchor>
    <xdr:from>
      <xdr:col>8</xdr:col>
      <xdr:colOff>309026</xdr:colOff>
      <xdr:row>11</xdr:row>
      <xdr:rowOff>761821</xdr:rowOff>
    </xdr:from>
    <xdr:to>
      <xdr:col>9</xdr:col>
      <xdr:colOff>1063256</xdr:colOff>
      <xdr:row>16</xdr:row>
      <xdr:rowOff>3906</xdr:rowOff>
    </xdr:to>
    <xdr:sp macro="" textlink="">
      <xdr:nvSpPr>
        <xdr:cNvPr id="25" name="텍스트 상자 24" descr="주소&#10;주소, 우편 번호&#10;&#10;전화&#10;팩스&#10;전자 메일&#10;웹&#10;" title="주소 블록"/>
        <xdr:cNvSpPr txBox="1"/>
      </xdr:nvSpPr>
      <xdr:spPr>
        <a:xfrm>
          <a:off x="8843426" y="5419546"/>
          <a:ext cx="1935330" cy="2080535"/>
        </a:xfrm>
        <a:prstGeom prst="rect">
          <a:avLst/>
        </a:prstGeom>
        <a:noFill/>
        <a:ln w="38100" cap="sq">
          <a:solidFill>
            <a:schemeClr val="accent5">
              <a:lumMod val="20000"/>
              <a:lumOff val="80000"/>
            </a:schemeClr>
          </a:solidFill>
          <a:miter lim="800000"/>
        </a:ln>
        <a:effectLst/>
        <a:scene3d>
          <a:camera prst="orthographicFront"/>
          <a:lightRig rig="twoPt" dir="t">
            <a:rot lat="0" lon="0" rev="7200000"/>
          </a:lightRig>
        </a:scene3d>
        <a:sp3d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2880" rIns="182880" rtlCol="0" anchor="ctr" anchorCtr="0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주소 입력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주소</a:t>
          </a:r>
          <a:r>
            <a:rPr kumimoji="0" lang="en-US" altLang="ko-KR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, </a:t>
          </a: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우편 번호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rgbClr val="A19574"/>
            </a:solidFill>
            <a:effectLst/>
            <a:uLnTx/>
            <a:uFillTx/>
            <a:latin typeface="맑은 고딕" panose="020B0503020000020004" pitchFamily="50" charset="-127"/>
            <a:ea typeface="맑은 고딕" panose="020B0503020000020004" pitchFamily="50" charset="-127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전화</a:t>
          </a:r>
          <a:r>
            <a:rPr kumimoji="0" lang="en-US" altLang="ko-KR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: 555.123.0123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팩스</a:t>
          </a:r>
          <a:r>
            <a:rPr kumimoji="0" lang="en-US" altLang="ko-KR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: 555.123.0124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맑은 고딕" panose="020B0503020000020004" pitchFamily="50" charset="-127"/>
            <a:ea typeface="맑은 고딕" panose="020B0503020000020004" pitchFamily="50" charset="-127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C17529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info@example.com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C17529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www.example.com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1047750</xdr:colOff>
          <xdr:row>1</xdr:row>
          <xdr:rowOff>85725</xdr:rowOff>
        </xdr:from>
        <xdr:to>
          <xdr:col>11</xdr:col>
          <xdr:colOff>114300</xdr:colOff>
          <xdr:row>1</xdr:row>
          <xdr:rowOff>314325</xdr:rowOff>
        </xdr:to>
        <xdr:sp macro="" textlink="">
          <xdr:nvSpPr>
            <xdr:cNvPr id="1026" name="회전자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336458</xdr:colOff>
      <xdr:row>3</xdr:row>
      <xdr:rowOff>31709</xdr:rowOff>
    </xdr:from>
    <xdr:to>
      <xdr:col>9</xdr:col>
      <xdr:colOff>1035035</xdr:colOff>
      <xdr:row>7</xdr:row>
      <xdr:rowOff>506429</xdr:rowOff>
    </xdr:to>
    <xdr:pic>
      <xdr:nvPicPr>
        <xdr:cNvPr id="2" name="그림 1" descr="냄비에 담긴 신선한 야채 고기 스튜.  이 그림을 변경하려면 그림을 마우스 오른쪽 단추로 클릭한 다음 [그림 바꾸기]를 클릭하세요." title="2월 이미지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70858" y="1384259"/>
          <a:ext cx="1879677" cy="2008245"/>
        </a:xfrm>
        <a:prstGeom prst="rect">
          <a:avLst/>
        </a:prstGeom>
        <a:solidFill>
          <a:srgbClr val="FFFFFF">
            <a:shade val="85000"/>
          </a:srgbClr>
        </a:solidFill>
        <a:ln w="38100" cap="sq">
          <a:solidFill>
            <a:schemeClr val="accent5">
              <a:lumMod val="20000"/>
              <a:lumOff val="80000"/>
            </a:schemeClr>
          </a:solidFill>
          <a:miter lim="800000"/>
        </a:ln>
        <a:effectLst/>
        <a:scene3d>
          <a:camera prst="orthographicFront"/>
          <a:lightRig rig="twoPt" dir="t">
            <a:rot lat="0" lon="0" rev="7200000"/>
          </a:lightRig>
        </a:scene3d>
        <a:sp3d>
          <a:contourClr>
            <a:srgbClr val="FFFFFF"/>
          </a:contourClr>
        </a:sp3d>
      </xdr:spPr>
    </xdr:pic>
    <xdr:clientData/>
  </xdr:twoCellAnchor>
  <xdr:twoCellAnchor>
    <xdr:from>
      <xdr:col>8</xdr:col>
      <xdr:colOff>336458</xdr:colOff>
      <xdr:row>7</xdr:row>
      <xdr:rowOff>635555</xdr:rowOff>
    </xdr:from>
    <xdr:to>
      <xdr:col>9</xdr:col>
      <xdr:colOff>1035035</xdr:colOff>
      <xdr:row>11</xdr:row>
      <xdr:rowOff>623170</xdr:rowOff>
    </xdr:to>
    <xdr:pic>
      <xdr:nvPicPr>
        <xdr:cNvPr id="6" name="그림 5" descr="신선한 버섯.  이 그림을 변경하려면 그림을 마우스 오른쪽 단추로 클릭한 다음 [그림 바꾸기]를 클릭하세요." title="2월 이미지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70858" y="3521630"/>
          <a:ext cx="1879677" cy="2006915"/>
        </a:xfrm>
        <a:prstGeom prst="rect">
          <a:avLst/>
        </a:prstGeom>
        <a:solidFill>
          <a:srgbClr val="FFFFFF">
            <a:shade val="85000"/>
          </a:srgbClr>
        </a:solidFill>
        <a:ln w="38100" cap="sq">
          <a:solidFill>
            <a:schemeClr val="accent5">
              <a:lumMod val="20000"/>
              <a:lumOff val="80000"/>
            </a:schemeClr>
          </a:solidFill>
          <a:miter lim="800000"/>
        </a:ln>
        <a:effectLst/>
        <a:scene3d>
          <a:camera prst="orthographicFront"/>
          <a:lightRig rig="twoPt" dir="t">
            <a:rot lat="0" lon="0" rev="7200000"/>
          </a:lightRig>
        </a:scene3d>
        <a:sp3d>
          <a:contourClr>
            <a:srgbClr val="FFFFFF"/>
          </a:contourClr>
        </a:sp3d>
      </xdr:spPr>
    </xdr:pic>
    <xdr:clientData/>
  </xdr:twoCellAnchor>
  <xdr:twoCellAnchor>
    <xdr:from>
      <xdr:col>8</xdr:col>
      <xdr:colOff>304800</xdr:colOff>
      <xdr:row>11</xdr:row>
      <xdr:rowOff>752475</xdr:rowOff>
    </xdr:from>
    <xdr:to>
      <xdr:col>9</xdr:col>
      <xdr:colOff>1059030</xdr:colOff>
      <xdr:row>15</xdr:row>
      <xdr:rowOff>813710</xdr:rowOff>
    </xdr:to>
    <xdr:sp macro="" textlink="">
      <xdr:nvSpPr>
        <xdr:cNvPr id="7" name="텍스트 상자 6" descr="주소&#10;주소, 우편 번호&#10;&#10;전화&#10;팩스&#10;전자 메일&#10;웹&#10;" title="주소 블록"/>
        <xdr:cNvSpPr txBox="1"/>
      </xdr:nvSpPr>
      <xdr:spPr>
        <a:xfrm>
          <a:off x="8839200" y="5657850"/>
          <a:ext cx="1935330" cy="2080535"/>
        </a:xfrm>
        <a:prstGeom prst="rect">
          <a:avLst/>
        </a:prstGeom>
        <a:noFill/>
        <a:ln w="38100" cap="sq">
          <a:solidFill>
            <a:schemeClr val="accent5">
              <a:lumMod val="20000"/>
              <a:lumOff val="80000"/>
            </a:schemeClr>
          </a:solidFill>
          <a:miter lim="800000"/>
        </a:ln>
        <a:effectLst/>
        <a:scene3d>
          <a:camera prst="orthographicFront"/>
          <a:lightRig rig="twoPt" dir="t">
            <a:rot lat="0" lon="0" rev="7200000"/>
          </a:lightRig>
        </a:scene3d>
        <a:sp3d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2880" rIns="182880" rtlCol="0" anchor="ctr" anchorCtr="0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주소 입력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주소</a:t>
          </a:r>
          <a:r>
            <a:rPr kumimoji="0" lang="en-US" altLang="ko-KR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, </a:t>
          </a: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우편 번호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rgbClr val="A19574"/>
            </a:solidFill>
            <a:effectLst/>
            <a:uLnTx/>
            <a:uFillTx/>
            <a:latin typeface="맑은 고딕" panose="020B0503020000020004" pitchFamily="50" charset="-127"/>
            <a:ea typeface="맑은 고딕" panose="020B0503020000020004" pitchFamily="50" charset="-127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전화</a:t>
          </a:r>
          <a:r>
            <a:rPr kumimoji="0" lang="en-US" altLang="ko-KR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: 555.123.0123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팩스</a:t>
          </a:r>
          <a:r>
            <a:rPr kumimoji="0" lang="en-US" altLang="ko-KR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: 555.123.0124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맑은 고딕" panose="020B0503020000020004" pitchFamily="50" charset="-127"/>
            <a:ea typeface="맑은 고딕" panose="020B0503020000020004" pitchFamily="50" charset="-127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C17529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info@example.com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C17529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www.example.com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336458</xdr:colOff>
      <xdr:row>3</xdr:row>
      <xdr:rowOff>22184</xdr:rowOff>
    </xdr:from>
    <xdr:to>
      <xdr:col>9</xdr:col>
      <xdr:colOff>1035035</xdr:colOff>
      <xdr:row>7</xdr:row>
      <xdr:rowOff>496904</xdr:rowOff>
    </xdr:to>
    <xdr:pic>
      <xdr:nvPicPr>
        <xdr:cNvPr id="2" name="그림 1" descr="무 슬라이스와 견과류 토핑을 올린 신선한 가든 샐러드.  이 그림을 변경하려면 그림을 마우스 오른쪽 단추로 클릭한 다음 [그림 바꾸기]를 클릭하세요." title="3월 이미지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70858" y="1374734"/>
          <a:ext cx="1879677" cy="2008245"/>
        </a:xfrm>
        <a:prstGeom prst="rect">
          <a:avLst/>
        </a:prstGeom>
        <a:solidFill>
          <a:srgbClr val="FFFFFF">
            <a:shade val="85000"/>
          </a:srgbClr>
        </a:solidFill>
        <a:ln w="38100" cap="sq">
          <a:solidFill>
            <a:schemeClr val="accent5">
              <a:lumMod val="20000"/>
              <a:lumOff val="80000"/>
            </a:schemeClr>
          </a:solidFill>
          <a:miter lim="800000"/>
        </a:ln>
        <a:effectLst/>
        <a:scene3d>
          <a:camera prst="orthographicFront"/>
          <a:lightRig rig="twoPt" dir="t">
            <a:rot lat="0" lon="0" rev="7200000"/>
          </a:lightRig>
        </a:scene3d>
        <a:sp3d>
          <a:contourClr>
            <a:srgbClr val="FFFFFF"/>
          </a:contourClr>
        </a:sp3d>
      </xdr:spPr>
    </xdr:pic>
    <xdr:clientData/>
  </xdr:twoCellAnchor>
  <xdr:twoCellAnchor>
    <xdr:from>
      <xdr:col>8</xdr:col>
      <xdr:colOff>336458</xdr:colOff>
      <xdr:row>7</xdr:row>
      <xdr:rowOff>626030</xdr:rowOff>
    </xdr:from>
    <xdr:to>
      <xdr:col>9</xdr:col>
      <xdr:colOff>1035035</xdr:colOff>
      <xdr:row>11</xdr:row>
      <xdr:rowOff>613645</xdr:rowOff>
    </xdr:to>
    <xdr:pic>
      <xdr:nvPicPr>
        <xdr:cNvPr id="6" name="그림 5" descr="신선한 무가 담긴 접시.  이 그림을 변경하려면 그림을 마우스 오른쪽 단추로 클릭한 다음 [그림 바꾸기]를 클릭하세요." title="3월 이미지 2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70858" y="3512105"/>
          <a:ext cx="1879677" cy="2006915"/>
        </a:xfrm>
        <a:prstGeom prst="rect">
          <a:avLst/>
        </a:prstGeom>
        <a:solidFill>
          <a:srgbClr val="FFFFFF">
            <a:shade val="85000"/>
          </a:srgbClr>
        </a:solidFill>
        <a:ln w="38100" cap="sq">
          <a:solidFill>
            <a:schemeClr val="accent5">
              <a:lumMod val="20000"/>
              <a:lumOff val="80000"/>
            </a:schemeClr>
          </a:solidFill>
          <a:miter lim="800000"/>
        </a:ln>
        <a:effectLst/>
        <a:scene3d>
          <a:camera prst="orthographicFront"/>
          <a:lightRig rig="twoPt" dir="t">
            <a:rot lat="0" lon="0" rev="7200000"/>
          </a:lightRig>
        </a:scene3d>
        <a:sp3d>
          <a:contourClr>
            <a:srgbClr val="FFFFFF"/>
          </a:contourClr>
        </a:sp3d>
      </xdr:spPr>
    </xdr:pic>
    <xdr:clientData/>
  </xdr:twoCellAnchor>
  <xdr:twoCellAnchor>
    <xdr:from>
      <xdr:col>8</xdr:col>
      <xdr:colOff>323850</xdr:colOff>
      <xdr:row>11</xdr:row>
      <xdr:rowOff>752475</xdr:rowOff>
    </xdr:from>
    <xdr:to>
      <xdr:col>9</xdr:col>
      <xdr:colOff>1078080</xdr:colOff>
      <xdr:row>15</xdr:row>
      <xdr:rowOff>813710</xdr:rowOff>
    </xdr:to>
    <xdr:sp macro="" textlink="">
      <xdr:nvSpPr>
        <xdr:cNvPr id="5" name="텍스트 상자 4" descr="주소&#10;주소, 우편 번호&#10;&#10;전화&#10;팩스&#10;전자 메일&#10;웹&#10;" title="주소 블록"/>
        <xdr:cNvSpPr txBox="1"/>
      </xdr:nvSpPr>
      <xdr:spPr>
        <a:xfrm>
          <a:off x="8858250" y="5657850"/>
          <a:ext cx="1935330" cy="2080535"/>
        </a:xfrm>
        <a:prstGeom prst="rect">
          <a:avLst/>
        </a:prstGeom>
        <a:noFill/>
        <a:ln w="38100" cap="sq">
          <a:solidFill>
            <a:schemeClr val="accent5">
              <a:lumMod val="20000"/>
              <a:lumOff val="80000"/>
            </a:schemeClr>
          </a:solidFill>
          <a:miter lim="800000"/>
        </a:ln>
        <a:effectLst/>
        <a:scene3d>
          <a:camera prst="orthographicFront"/>
          <a:lightRig rig="twoPt" dir="t">
            <a:rot lat="0" lon="0" rev="7200000"/>
          </a:lightRig>
        </a:scene3d>
        <a:sp3d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2880" rIns="182880" rtlCol="0" anchor="ctr" anchorCtr="0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주소 입력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주소</a:t>
          </a:r>
          <a:r>
            <a:rPr kumimoji="0" lang="en-US" altLang="ko-KR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, </a:t>
          </a: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우편 번호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rgbClr val="A19574"/>
            </a:solidFill>
            <a:effectLst/>
            <a:uLnTx/>
            <a:uFillTx/>
            <a:latin typeface="맑은 고딕" panose="020B0503020000020004" pitchFamily="50" charset="-127"/>
            <a:ea typeface="맑은 고딕" panose="020B0503020000020004" pitchFamily="50" charset="-127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전화</a:t>
          </a:r>
          <a:r>
            <a:rPr kumimoji="0" lang="en-US" altLang="ko-KR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: 555.123.0123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팩스</a:t>
          </a:r>
          <a:r>
            <a:rPr kumimoji="0" lang="en-US" altLang="ko-KR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: 555.123.0124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맑은 고딕" panose="020B0503020000020004" pitchFamily="50" charset="-127"/>
            <a:ea typeface="맑은 고딕" panose="020B0503020000020004" pitchFamily="50" charset="-127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C17529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info@example.com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C17529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www.example.com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336458</xdr:colOff>
      <xdr:row>3</xdr:row>
      <xdr:rowOff>22184</xdr:rowOff>
    </xdr:from>
    <xdr:to>
      <xdr:col>9</xdr:col>
      <xdr:colOff>1035035</xdr:colOff>
      <xdr:row>7</xdr:row>
      <xdr:rowOff>496904</xdr:rowOff>
    </xdr:to>
    <xdr:pic>
      <xdr:nvPicPr>
        <xdr:cNvPr id="2" name="그림 1" descr="아스파라거스 파이 조각.  이 그림을 변경하려면 그림을 마우스 오른쪽 단추로 클릭한 다음 [그림 바꾸기]를 클릭하세요." title="4월 이미지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70858" y="1374734"/>
          <a:ext cx="1879677" cy="2008245"/>
        </a:xfrm>
        <a:prstGeom prst="rect">
          <a:avLst/>
        </a:prstGeom>
        <a:solidFill>
          <a:srgbClr val="FFFFFF">
            <a:shade val="85000"/>
          </a:srgbClr>
        </a:solidFill>
        <a:ln w="38100" cap="sq">
          <a:solidFill>
            <a:schemeClr val="accent5">
              <a:lumMod val="20000"/>
              <a:lumOff val="80000"/>
            </a:schemeClr>
          </a:solidFill>
          <a:miter lim="800000"/>
        </a:ln>
        <a:effectLst/>
        <a:scene3d>
          <a:camera prst="orthographicFront"/>
          <a:lightRig rig="twoPt" dir="t">
            <a:rot lat="0" lon="0" rev="7200000"/>
          </a:lightRig>
        </a:scene3d>
        <a:sp3d>
          <a:contourClr>
            <a:srgbClr val="FFFFFF"/>
          </a:contourClr>
        </a:sp3d>
      </xdr:spPr>
    </xdr:pic>
    <xdr:clientData/>
  </xdr:twoCellAnchor>
  <xdr:twoCellAnchor>
    <xdr:from>
      <xdr:col>8</xdr:col>
      <xdr:colOff>336458</xdr:colOff>
      <xdr:row>7</xdr:row>
      <xdr:rowOff>626030</xdr:rowOff>
    </xdr:from>
    <xdr:to>
      <xdr:col>9</xdr:col>
      <xdr:colOff>1035035</xdr:colOff>
      <xdr:row>11</xdr:row>
      <xdr:rowOff>613645</xdr:rowOff>
    </xdr:to>
    <xdr:pic>
      <xdr:nvPicPr>
        <xdr:cNvPr id="6" name="그림 5" descr="신선한 아스파라거스 줄기.  이 그림을 변경하려면 그림을 마우스 오른쪽 단추로 클릭한 다음 [그림 바꾸기]를 클릭하세요." title="4월 이미지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70858" y="3512105"/>
          <a:ext cx="1879677" cy="2006915"/>
        </a:xfrm>
        <a:prstGeom prst="rect">
          <a:avLst/>
        </a:prstGeom>
        <a:solidFill>
          <a:srgbClr val="FFFFFF">
            <a:shade val="85000"/>
          </a:srgbClr>
        </a:solidFill>
        <a:ln w="38100" cap="sq">
          <a:solidFill>
            <a:schemeClr val="accent5">
              <a:lumMod val="20000"/>
              <a:lumOff val="80000"/>
            </a:schemeClr>
          </a:solidFill>
          <a:miter lim="800000"/>
        </a:ln>
        <a:effectLst/>
        <a:scene3d>
          <a:camera prst="orthographicFront"/>
          <a:lightRig rig="twoPt" dir="t">
            <a:rot lat="0" lon="0" rev="7200000"/>
          </a:lightRig>
        </a:scene3d>
        <a:sp3d>
          <a:contourClr>
            <a:srgbClr val="FFFFFF"/>
          </a:contourClr>
        </a:sp3d>
      </xdr:spPr>
    </xdr:pic>
    <xdr:clientData/>
  </xdr:twoCellAnchor>
  <xdr:twoCellAnchor>
    <xdr:from>
      <xdr:col>8</xdr:col>
      <xdr:colOff>304800</xdr:colOff>
      <xdr:row>11</xdr:row>
      <xdr:rowOff>733425</xdr:rowOff>
    </xdr:from>
    <xdr:to>
      <xdr:col>9</xdr:col>
      <xdr:colOff>1059030</xdr:colOff>
      <xdr:row>15</xdr:row>
      <xdr:rowOff>794660</xdr:rowOff>
    </xdr:to>
    <xdr:sp macro="" textlink="">
      <xdr:nvSpPr>
        <xdr:cNvPr id="5" name="텍스트 상자 4" descr="주소&#10;주소, 우편 번호&#10;&#10;전화&#10;팩스&#10;전자 메일&#10;웹&#10;" title="주소 블록"/>
        <xdr:cNvSpPr txBox="1"/>
      </xdr:nvSpPr>
      <xdr:spPr>
        <a:xfrm>
          <a:off x="8839200" y="5638800"/>
          <a:ext cx="1935330" cy="2080535"/>
        </a:xfrm>
        <a:prstGeom prst="rect">
          <a:avLst/>
        </a:prstGeom>
        <a:noFill/>
        <a:ln w="38100" cap="sq">
          <a:solidFill>
            <a:schemeClr val="accent5">
              <a:lumMod val="20000"/>
              <a:lumOff val="80000"/>
            </a:schemeClr>
          </a:solidFill>
          <a:miter lim="800000"/>
        </a:ln>
        <a:effectLst/>
        <a:scene3d>
          <a:camera prst="orthographicFront"/>
          <a:lightRig rig="twoPt" dir="t">
            <a:rot lat="0" lon="0" rev="7200000"/>
          </a:lightRig>
        </a:scene3d>
        <a:sp3d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2880" rIns="182880" rtlCol="0" anchor="ctr" anchorCtr="0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주소 입력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주소</a:t>
          </a:r>
          <a:r>
            <a:rPr kumimoji="0" lang="en-US" altLang="ko-KR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, </a:t>
          </a: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우편 번호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rgbClr val="A19574"/>
            </a:solidFill>
            <a:effectLst/>
            <a:uLnTx/>
            <a:uFillTx/>
            <a:latin typeface="맑은 고딕" panose="020B0503020000020004" pitchFamily="50" charset="-127"/>
            <a:ea typeface="맑은 고딕" panose="020B0503020000020004" pitchFamily="50" charset="-127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전화</a:t>
          </a:r>
          <a:r>
            <a:rPr kumimoji="0" lang="en-US" altLang="ko-KR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: 555.123.0123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팩스</a:t>
          </a:r>
          <a:r>
            <a:rPr kumimoji="0" lang="en-US" altLang="ko-KR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: 555.123.0124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맑은 고딕" panose="020B0503020000020004" pitchFamily="50" charset="-127"/>
            <a:ea typeface="맑은 고딕" panose="020B0503020000020004" pitchFamily="50" charset="-127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C17529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info@example.com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C17529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www.example.com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336458</xdr:colOff>
      <xdr:row>3</xdr:row>
      <xdr:rowOff>22184</xdr:rowOff>
    </xdr:from>
    <xdr:to>
      <xdr:col>9</xdr:col>
      <xdr:colOff>1035035</xdr:colOff>
      <xdr:row>7</xdr:row>
      <xdr:rowOff>496904</xdr:rowOff>
    </xdr:to>
    <xdr:pic>
      <xdr:nvPicPr>
        <xdr:cNvPr id="2" name="그림 1" descr="과일 칵테일 잔. 이 그림을 변경하려면 그림을 마우스 오른쪽 단추로 클릭한 다음 [그림 바꾸기]를 클릭하세요." title="5월 이미지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70858" y="1374734"/>
          <a:ext cx="1879677" cy="2008245"/>
        </a:xfrm>
        <a:prstGeom prst="rect">
          <a:avLst/>
        </a:prstGeom>
        <a:solidFill>
          <a:srgbClr val="FFFFFF">
            <a:shade val="85000"/>
          </a:srgbClr>
        </a:solidFill>
        <a:ln w="38100" cap="sq">
          <a:solidFill>
            <a:schemeClr val="accent5">
              <a:lumMod val="20000"/>
              <a:lumOff val="80000"/>
            </a:schemeClr>
          </a:solidFill>
          <a:miter lim="800000"/>
        </a:ln>
        <a:effectLst/>
        <a:scene3d>
          <a:camera prst="orthographicFront"/>
          <a:lightRig rig="twoPt" dir="t">
            <a:rot lat="0" lon="0" rev="7200000"/>
          </a:lightRig>
        </a:scene3d>
        <a:sp3d>
          <a:contourClr>
            <a:srgbClr val="FFFFFF"/>
          </a:contourClr>
        </a:sp3d>
      </xdr:spPr>
    </xdr:pic>
    <xdr:clientData/>
  </xdr:twoCellAnchor>
  <xdr:twoCellAnchor>
    <xdr:from>
      <xdr:col>8</xdr:col>
      <xdr:colOff>336458</xdr:colOff>
      <xdr:row>7</xdr:row>
      <xdr:rowOff>626030</xdr:rowOff>
    </xdr:from>
    <xdr:to>
      <xdr:col>9</xdr:col>
      <xdr:colOff>1035035</xdr:colOff>
      <xdr:row>11</xdr:row>
      <xdr:rowOff>613645</xdr:rowOff>
    </xdr:to>
    <xdr:pic>
      <xdr:nvPicPr>
        <xdr:cNvPr id="6" name="그림 5" descr="신선한 자몽 조각.  이 그림을 변경하려면 그림을 마우스 오른쪽 단추로 클릭한 다음 [그림 바꾸기]를 클릭하세요." title="5월 이미지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70858" y="3512105"/>
          <a:ext cx="1879677" cy="2006915"/>
        </a:xfrm>
        <a:prstGeom prst="rect">
          <a:avLst/>
        </a:prstGeom>
        <a:solidFill>
          <a:srgbClr val="FFFFFF">
            <a:shade val="85000"/>
          </a:srgbClr>
        </a:solidFill>
        <a:ln w="38100" cap="sq">
          <a:solidFill>
            <a:schemeClr val="accent5">
              <a:lumMod val="20000"/>
              <a:lumOff val="80000"/>
            </a:schemeClr>
          </a:solidFill>
          <a:miter lim="800000"/>
        </a:ln>
        <a:effectLst/>
        <a:scene3d>
          <a:camera prst="orthographicFront"/>
          <a:lightRig rig="twoPt" dir="t">
            <a:rot lat="0" lon="0" rev="7200000"/>
          </a:lightRig>
        </a:scene3d>
        <a:sp3d>
          <a:contourClr>
            <a:srgbClr val="FFFFFF"/>
          </a:contourClr>
        </a:sp3d>
      </xdr:spPr>
    </xdr:pic>
    <xdr:clientData/>
  </xdr:twoCellAnchor>
  <xdr:twoCellAnchor>
    <xdr:from>
      <xdr:col>8</xdr:col>
      <xdr:colOff>304800</xdr:colOff>
      <xdr:row>11</xdr:row>
      <xdr:rowOff>742950</xdr:rowOff>
    </xdr:from>
    <xdr:to>
      <xdr:col>9</xdr:col>
      <xdr:colOff>1059030</xdr:colOff>
      <xdr:row>15</xdr:row>
      <xdr:rowOff>804185</xdr:rowOff>
    </xdr:to>
    <xdr:sp macro="" textlink="">
      <xdr:nvSpPr>
        <xdr:cNvPr id="5" name="텍스트 상자 4" descr="주소&#10;주소, 우편 번호&#10;&#10;전화&#10;팩스&#10;전자 메일&#10;웹&#10;" title="주소 블록"/>
        <xdr:cNvSpPr txBox="1"/>
      </xdr:nvSpPr>
      <xdr:spPr>
        <a:xfrm>
          <a:off x="8839200" y="5648325"/>
          <a:ext cx="1935330" cy="2080535"/>
        </a:xfrm>
        <a:prstGeom prst="rect">
          <a:avLst/>
        </a:prstGeom>
        <a:noFill/>
        <a:ln w="38100" cap="sq">
          <a:solidFill>
            <a:schemeClr val="accent5">
              <a:lumMod val="20000"/>
              <a:lumOff val="80000"/>
            </a:schemeClr>
          </a:solidFill>
          <a:miter lim="800000"/>
        </a:ln>
        <a:effectLst/>
        <a:scene3d>
          <a:camera prst="orthographicFront"/>
          <a:lightRig rig="twoPt" dir="t">
            <a:rot lat="0" lon="0" rev="7200000"/>
          </a:lightRig>
        </a:scene3d>
        <a:sp3d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2880" rIns="182880" rtlCol="0" anchor="ctr" anchorCtr="0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주소 입력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주소</a:t>
          </a:r>
          <a:r>
            <a:rPr kumimoji="0" lang="en-US" altLang="ko-KR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, </a:t>
          </a: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우편 번호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rgbClr val="A19574"/>
            </a:solidFill>
            <a:effectLst/>
            <a:uLnTx/>
            <a:uFillTx/>
            <a:latin typeface="맑은 고딕" panose="020B0503020000020004" pitchFamily="50" charset="-127"/>
            <a:ea typeface="맑은 고딕" panose="020B0503020000020004" pitchFamily="50" charset="-127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전화</a:t>
          </a:r>
          <a:r>
            <a:rPr kumimoji="0" lang="en-US" altLang="ko-KR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: 555.123.0123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팩스</a:t>
          </a:r>
          <a:r>
            <a:rPr kumimoji="0" lang="en-US" altLang="ko-KR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: 555.123.0124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맑은 고딕" panose="020B0503020000020004" pitchFamily="50" charset="-127"/>
            <a:ea typeface="맑은 고딕" panose="020B0503020000020004" pitchFamily="50" charset="-127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C17529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info@example.com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C17529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www.example.com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336458</xdr:colOff>
      <xdr:row>3</xdr:row>
      <xdr:rowOff>22184</xdr:rowOff>
    </xdr:from>
    <xdr:to>
      <xdr:col>9</xdr:col>
      <xdr:colOff>1035035</xdr:colOff>
      <xdr:row>7</xdr:row>
      <xdr:rowOff>496904</xdr:rowOff>
    </xdr:to>
    <xdr:pic>
      <xdr:nvPicPr>
        <xdr:cNvPr id="2" name="그림 1" descr="초록 채소가 곁들여진 신선한 가든 샐러드. 이 그림을 변경하려면 그림을 마우스 오른쪽 단추로 클릭한 다음 [그림 바꾸기]를 클릭하세요." title="6월 이미지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70858" y="1374734"/>
          <a:ext cx="1879677" cy="2008245"/>
        </a:xfrm>
        <a:prstGeom prst="rect">
          <a:avLst/>
        </a:prstGeom>
        <a:solidFill>
          <a:srgbClr val="FFFFFF">
            <a:shade val="85000"/>
          </a:srgbClr>
        </a:solidFill>
        <a:ln w="38100" cap="sq">
          <a:solidFill>
            <a:schemeClr val="accent5">
              <a:lumMod val="20000"/>
              <a:lumOff val="80000"/>
            </a:schemeClr>
          </a:solidFill>
          <a:miter lim="800000"/>
        </a:ln>
        <a:effectLst/>
        <a:scene3d>
          <a:camera prst="orthographicFront"/>
          <a:lightRig rig="twoPt" dir="t">
            <a:rot lat="0" lon="0" rev="7200000"/>
          </a:lightRig>
        </a:scene3d>
        <a:sp3d>
          <a:contourClr>
            <a:srgbClr val="FFFFFF"/>
          </a:contourClr>
        </a:sp3d>
      </xdr:spPr>
    </xdr:pic>
    <xdr:clientData/>
  </xdr:twoCellAnchor>
  <xdr:twoCellAnchor>
    <xdr:from>
      <xdr:col>8</xdr:col>
      <xdr:colOff>336458</xdr:colOff>
      <xdr:row>7</xdr:row>
      <xdr:rowOff>626030</xdr:rowOff>
    </xdr:from>
    <xdr:to>
      <xdr:col>9</xdr:col>
      <xdr:colOff>1035035</xdr:colOff>
      <xdr:row>11</xdr:row>
      <xdr:rowOff>613645</xdr:rowOff>
    </xdr:to>
    <xdr:pic>
      <xdr:nvPicPr>
        <xdr:cNvPr id="6" name="그림 5" descr="잘 익은 신선한 줄기 토마토. 이 그림을 변경하려면 그림을 마우스 오른쪽 단추로 클릭한 다음 [그림 바꾸기]를 클릭하세요." title="6월 이미지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70858" y="3512105"/>
          <a:ext cx="1879677" cy="2006915"/>
        </a:xfrm>
        <a:prstGeom prst="rect">
          <a:avLst/>
        </a:prstGeom>
        <a:solidFill>
          <a:srgbClr val="FFFFFF">
            <a:shade val="85000"/>
          </a:srgbClr>
        </a:solidFill>
        <a:ln w="38100" cap="sq">
          <a:solidFill>
            <a:schemeClr val="accent5">
              <a:lumMod val="20000"/>
              <a:lumOff val="80000"/>
            </a:schemeClr>
          </a:solidFill>
          <a:miter lim="800000"/>
        </a:ln>
        <a:effectLst/>
        <a:scene3d>
          <a:camera prst="orthographicFront"/>
          <a:lightRig rig="twoPt" dir="t">
            <a:rot lat="0" lon="0" rev="7200000"/>
          </a:lightRig>
        </a:scene3d>
        <a:sp3d>
          <a:contourClr>
            <a:srgbClr val="FFFFFF"/>
          </a:contourClr>
        </a:sp3d>
      </xdr:spPr>
    </xdr:pic>
    <xdr:clientData/>
  </xdr:twoCellAnchor>
  <xdr:twoCellAnchor>
    <xdr:from>
      <xdr:col>8</xdr:col>
      <xdr:colOff>314325</xdr:colOff>
      <xdr:row>11</xdr:row>
      <xdr:rowOff>752475</xdr:rowOff>
    </xdr:from>
    <xdr:to>
      <xdr:col>9</xdr:col>
      <xdr:colOff>1068555</xdr:colOff>
      <xdr:row>15</xdr:row>
      <xdr:rowOff>813710</xdr:rowOff>
    </xdr:to>
    <xdr:sp macro="" textlink="">
      <xdr:nvSpPr>
        <xdr:cNvPr id="5" name="텍스트 상자 4" descr="주소&#10;주소, 우편 번호&#10;&#10;전화&#10;팩스&#10;전자 메일&#10;웹&#10;" title="주소 블록"/>
        <xdr:cNvSpPr txBox="1"/>
      </xdr:nvSpPr>
      <xdr:spPr>
        <a:xfrm>
          <a:off x="8848725" y="5657850"/>
          <a:ext cx="1935330" cy="2080535"/>
        </a:xfrm>
        <a:prstGeom prst="rect">
          <a:avLst/>
        </a:prstGeom>
        <a:noFill/>
        <a:ln w="38100" cap="sq">
          <a:solidFill>
            <a:schemeClr val="accent5">
              <a:lumMod val="20000"/>
              <a:lumOff val="80000"/>
            </a:schemeClr>
          </a:solidFill>
          <a:miter lim="800000"/>
        </a:ln>
        <a:effectLst/>
        <a:scene3d>
          <a:camera prst="orthographicFront"/>
          <a:lightRig rig="twoPt" dir="t">
            <a:rot lat="0" lon="0" rev="7200000"/>
          </a:lightRig>
        </a:scene3d>
        <a:sp3d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2880" rIns="182880" rtlCol="0" anchor="ctr" anchorCtr="0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주소 입력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주소</a:t>
          </a:r>
          <a:r>
            <a:rPr kumimoji="0" lang="en-US" altLang="ko-KR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, </a:t>
          </a: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우편 번호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rgbClr val="A19574"/>
            </a:solidFill>
            <a:effectLst/>
            <a:uLnTx/>
            <a:uFillTx/>
            <a:latin typeface="맑은 고딕" panose="020B0503020000020004" pitchFamily="50" charset="-127"/>
            <a:ea typeface="맑은 고딕" panose="020B0503020000020004" pitchFamily="50" charset="-127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전화</a:t>
          </a:r>
          <a:r>
            <a:rPr kumimoji="0" lang="en-US" altLang="ko-KR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: 555.123.0123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팩스</a:t>
          </a:r>
          <a:r>
            <a:rPr kumimoji="0" lang="en-US" altLang="ko-KR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: 555.123.0124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맑은 고딕" panose="020B0503020000020004" pitchFamily="50" charset="-127"/>
            <a:ea typeface="맑은 고딕" panose="020B0503020000020004" pitchFamily="50" charset="-127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C17529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info@example.com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C17529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www.example.com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336458</xdr:colOff>
      <xdr:row>3</xdr:row>
      <xdr:rowOff>22184</xdr:rowOff>
    </xdr:from>
    <xdr:to>
      <xdr:col>9</xdr:col>
      <xdr:colOff>1035035</xdr:colOff>
      <xdr:row>7</xdr:row>
      <xdr:rowOff>496904</xdr:rowOff>
    </xdr:to>
    <xdr:pic>
      <xdr:nvPicPr>
        <xdr:cNvPr id="2" name="그림 1" descr="라임 조각과 파슬리 토핑을 올린 수박 셔벗. 이 그림을 변경하려면 그림을 마우스 오른쪽 단추로 클릭한 다음 [그림 바꾸기]를 클릭하세요." title="7월 이미지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70858" y="1374734"/>
          <a:ext cx="1879677" cy="2008245"/>
        </a:xfrm>
        <a:prstGeom prst="rect">
          <a:avLst/>
        </a:prstGeom>
        <a:solidFill>
          <a:srgbClr val="FFFFFF">
            <a:shade val="85000"/>
          </a:srgbClr>
        </a:solidFill>
        <a:ln w="38100" cap="sq">
          <a:solidFill>
            <a:schemeClr val="accent5">
              <a:lumMod val="20000"/>
              <a:lumOff val="80000"/>
            </a:schemeClr>
          </a:solidFill>
          <a:miter lim="800000"/>
        </a:ln>
        <a:effectLst/>
        <a:scene3d>
          <a:camera prst="orthographicFront"/>
          <a:lightRig rig="twoPt" dir="t">
            <a:rot lat="0" lon="0" rev="7200000"/>
          </a:lightRig>
        </a:scene3d>
        <a:sp3d>
          <a:contourClr>
            <a:srgbClr val="FFFFFF"/>
          </a:contourClr>
        </a:sp3d>
      </xdr:spPr>
    </xdr:pic>
    <xdr:clientData/>
  </xdr:twoCellAnchor>
  <xdr:twoCellAnchor>
    <xdr:from>
      <xdr:col>8</xdr:col>
      <xdr:colOff>336458</xdr:colOff>
      <xdr:row>7</xdr:row>
      <xdr:rowOff>658447</xdr:rowOff>
    </xdr:from>
    <xdr:to>
      <xdr:col>9</xdr:col>
      <xdr:colOff>1035035</xdr:colOff>
      <xdr:row>11</xdr:row>
      <xdr:rowOff>646062</xdr:rowOff>
    </xdr:to>
    <xdr:pic>
      <xdr:nvPicPr>
        <xdr:cNvPr id="6" name="그림 5" descr="신선한 수박 조각을 줄지어 놓은 피크닉 테이블. 이 그림을 변경하려면 그림을 마우스 오른쪽 단추로 클릭한 다음 [그림 바꾸기]를 클릭하세요." title="7월 이미지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70858" y="3544522"/>
          <a:ext cx="1879677" cy="2006915"/>
        </a:xfrm>
        <a:prstGeom prst="rect">
          <a:avLst/>
        </a:prstGeom>
        <a:solidFill>
          <a:srgbClr val="FFFFFF">
            <a:shade val="85000"/>
          </a:srgbClr>
        </a:solidFill>
        <a:ln w="38100" cap="sq">
          <a:solidFill>
            <a:schemeClr val="accent5">
              <a:lumMod val="20000"/>
              <a:lumOff val="80000"/>
            </a:schemeClr>
          </a:solidFill>
          <a:miter lim="800000"/>
        </a:ln>
        <a:effectLst/>
        <a:scene3d>
          <a:camera prst="orthographicFront"/>
          <a:lightRig rig="twoPt" dir="t">
            <a:rot lat="0" lon="0" rev="7200000"/>
          </a:lightRig>
        </a:scene3d>
        <a:sp3d>
          <a:contourClr>
            <a:srgbClr val="FFFFFF"/>
          </a:contourClr>
        </a:sp3d>
      </xdr:spPr>
    </xdr:pic>
    <xdr:clientData/>
  </xdr:twoCellAnchor>
  <xdr:twoCellAnchor>
    <xdr:from>
      <xdr:col>8</xdr:col>
      <xdr:colOff>314325</xdr:colOff>
      <xdr:row>11</xdr:row>
      <xdr:rowOff>752475</xdr:rowOff>
    </xdr:from>
    <xdr:to>
      <xdr:col>9</xdr:col>
      <xdr:colOff>1068555</xdr:colOff>
      <xdr:row>15</xdr:row>
      <xdr:rowOff>813710</xdr:rowOff>
    </xdr:to>
    <xdr:sp macro="" textlink="">
      <xdr:nvSpPr>
        <xdr:cNvPr id="5" name="텍스트 상자 4" descr="주소&#10;주소, 우편 번호&#10;&#10;전화&#10;팩스&#10;전자 메일&#10;웹&#10;" title="주소 블록"/>
        <xdr:cNvSpPr txBox="1"/>
      </xdr:nvSpPr>
      <xdr:spPr>
        <a:xfrm>
          <a:off x="8848725" y="5657850"/>
          <a:ext cx="1935330" cy="2080535"/>
        </a:xfrm>
        <a:prstGeom prst="rect">
          <a:avLst/>
        </a:prstGeom>
        <a:noFill/>
        <a:ln w="38100" cap="sq">
          <a:solidFill>
            <a:schemeClr val="accent5">
              <a:lumMod val="20000"/>
              <a:lumOff val="80000"/>
            </a:schemeClr>
          </a:solidFill>
          <a:miter lim="800000"/>
        </a:ln>
        <a:effectLst/>
        <a:scene3d>
          <a:camera prst="orthographicFront"/>
          <a:lightRig rig="twoPt" dir="t">
            <a:rot lat="0" lon="0" rev="7200000"/>
          </a:lightRig>
        </a:scene3d>
        <a:sp3d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2880" rIns="182880" rtlCol="0" anchor="ctr" anchorCtr="0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주소 입력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주소</a:t>
          </a:r>
          <a:r>
            <a:rPr kumimoji="0" lang="en-US" altLang="ko-KR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, </a:t>
          </a: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우편 번호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rgbClr val="A19574"/>
            </a:solidFill>
            <a:effectLst/>
            <a:uLnTx/>
            <a:uFillTx/>
            <a:latin typeface="맑은 고딕" panose="020B0503020000020004" pitchFamily="50" charset="-127"/>
            <a:ea typeface="맑은 고딕" panose="020B0503020000020004" pitchFamily="50" charset="-127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전화</a:t>
          </a:r>
          <a:r>
            <a:rPr kumimoji="0" lang="en-US" altLang="ko-KR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: 555.123.0123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팩스</a:t>
          </a:r>
          <a:r>
            <a:rPr kumimoji="0" lang="en-US" altLang="ko-KR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: 555.123.0124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맑은 고딕" panose="020B0503020000020004" pitchFamily="50" charset="-127"/>
            <a:ea typeface="맑은 고딕" panose="020B0503020000020004" pitchFamily="50" charset="-127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C17529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info@example.com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C17529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www.example.com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336458</xdr:colOff>
      <xdr:row>3</xdr:row>
      <xdr:rowOff>22184</xdr:rowOff>
    </xdr:from>
    <xdr:to>
      <xdr:col>9</xdr:col>
      <xdr:colOff>1035035</xdr:colOff>
      <xdr:row>7</xdr:row>
      <xdr:rowOff>496904</xdr:rowOff>
    </xdr:to>
    <xdr:pic>
      <xdr:nvPicPr>
        <xdr:cNvPr id="2" name="그림 1" descr="둥근 접시에 담긴 연어 구이와 신선한 야채" title="8월 이미지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70858" y="1374734"/>
          <a:ext cx="1879677" cy="2008245"/>
        </a:xfrm>
        <a:prstGeom prst="rect">
          <a:avLst/>
        </a:prstGeom>
        <a:solidFill>
          <a:srgbClr val="FFFFFF">
            <a:shade val="85000"/>
          </a:srgbClr>
        </a:solidFill>
        <a:ln w="38100" cap="sq">
          <a:solidFill>
            <a:schemeClr val="accent5">
              <a:lumMod val="20000"/>
              <a:lumOff val="80000"/>
            </a:schemeClr>
          </a:solidFill>
          <a:miter lim="800000"/>
        </a:ln>
        <a:effectLst/>
        <a:scene3d>
          <a:camera prst="orthographicFront"/>
          <a:lightRig rig="twoPt" dir="t">
            <a:rot lat="0" lon="0" rev="7200000"/>
          </a:lightRig>
        </a:scene3d>
        <a:sp3d>
          <a:contourClr>
            <a:srgbClr val="FFFFFF"/>
          </a:contourClr>
        </a:sp3d>
      </xdr:spPr>
    </xdr:pic>
    <xdr:clientData/>
  </xdr:twoCellAnchor>
  <xdr:twoCellAnchor>
    <xdr:from>
      <xdr:col>8</xdr:col>
      <xdr:colOff>336458</xdr:colOff>
      <xdr:row>7</xdr:row>
      <xdr:rowOff>626030</xdr:rowOff>
    </xdr:from>
    <xdr:to>
      <xdr:col>9</xdr:col>
      <xdr:colOff>1035035</xdr:colOff>
      <xdr:row>11</xdr:row>
      <xdr:rowOff>613645</xdr:rowOff>
    </xdr:to>
    <xdr:pic>
      <xdr:nvPicPr>
        <xdr:cNvPr id="6" name="그림 5" descr="부분적으로 잘라놓은 신선한 줄기콩 그릇. 이 그림을 변경하려면 그림을 마우스 오른쪽 단추로 클릭한 다음 [그림 바꾸기]를 클릭하세요." title="8월 이미지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70858" y="3512105"/>
          <a:ext cx="1879677" cy="2006915"/>
        </a:xfrm>
        <a:prstGeom prst="rect">
          <a:avLst/>
        </a:prstGeom>
        <a:solidFill>
          <a:srgbClr val="FFFFFF">
            <a:shade val="85000"/>
          </a:srgbClr>
        </a:solidFill>
        <a:ln w="38100" cap="sq">
          <a:solidFill>
            <a:schemeClr val="accent5">
              <a:lumMod val="20000"/>
              <a:lumOff val="80000"/>
            </a:schemeClr>
          </a:solidFill>
          <a:miter lim="800000"/>
        </a:ln>
        <a:effectLst/>
        <a:scene3d>
          <a:camera prst="orthographicFront"/>
          <a:lightRig rig="twoPt" dir="t">
            <a:rot lat="0" lon="0" rev="7200000"/>
          </a:lightRig>
        </a:scene3d>
        <a:sp3d>
          <a:contourClr>
            <a:srgbClr val="FFFFFF"/>
          </a:contourClr>
        </a:sp3d>
      </xdr:spPr>
    </xdr:pic>
    <xdr:clientData/>
  </xdr:twoCellAnchor>
  <xdr:twoCellAnchor>
    <xdr:from>
      <xdr:col>8</xdr:col>
      <xdr:colOff>304800</xdr:colOff>
      <xdr:row>11</xdr:row>
      <xdr:rowOff>752475</xdr:rowOff>
    </xdr:from>
    <xdr:to>
      <xdr:col>9</xdr:col>
      <xdr:colOff>1059030</xdr:colOff>
      <xdr:row>15</xdr:row>
      <xdr:rowOff>813710</xdr:rowOff>
    </xdr:to>
    <xdr:sp macro="" textlink="">
      <xdr:nvSpPr>
        <xdr:cNvPr id="5" name="텍스트 상자 4" descr="주소&#10;주소, 우편 번호&#10;&#10;전화&#10;팩스&#10;전자 메일&#10;웹&#10;" title="주소 블록"/>
        <xdr:cNvSpPr txBox="1"/>
      </xdr:nvSpPr>
      <xdr:spPr>
        <a:xfrm>
          <a:off x="8839200" y="5657850"/>
          <a:ext cx="1935330" cy="2080535"/>
        </a:xfrm>
        <a:prstGeom prst="rect">
          <a:avLst/>
        </a:prstGeom>
        <a:noFill/>
        <a:ln w="38100" cap="sq">
          <a:solidFill>
            <a:schemeClr val="accent5">
              <a:lumMod val="20000"/>
              <a:lumOff val="80000"/>
            </a:schemeClr>
          </a:solidFill>
          <a:miter lim="800000"/>
        </a:ln>
        <a:effectLst/>
        <a:scene3d>
          <a:camera prst="orthographicFront"/>
          <a:lightRig rig="twoPt" dir="t">
            <a:rot lat="0" lon="0" rev="7200000"/>
          </a:lightRig>
        </a:scene3d>
        <a:sp3d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2880" rIns="182880" rtlCol="0" anchor="ctr" anchorCtr="0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주소 입력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주소</a:t>
          </a:r>
          <a:r>
            <a:rPr kumimoji="0" lang="en-US" altLang="ko-KR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, </a:t>
          </a: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우편 번호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rgbClr val="A19574"/>
            </a:solidFill>
            <a:effectLst/>
            <a:uLnTx/>
            <a:uFillTx/>
            <a:latin typeface="맑은 고딕" panose="020B0503020000020004" pitchFamily="50" charset="-127"/>
            <a:ea typeface="맑은 고딕" panose="020B0503020000020004" pitchFamily="50" charset="-127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전화</a:t>
          </a:r>
          <a:r>
            <a:rPr kumimoji="0" lang="en-US" altLang="ko-KR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: 555.123.0123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팩스</a:t>
          </a:r>
          <a:r>
            <a:rPr kumimoji="0" lang="en-US" altLang="ko-KR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: 555.123.0124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맑은 고딕" panose="020B0503020000020004" pitchFamily="50" charset="-127"/>
            <a:ea typeface="맑은 고딕" panose="020B0503020000020004" pitchFamily="50" charset="-127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C17529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info@example.com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C17529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www.example.com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336458</xdr:colOff>
      <xdr:row>4</xdr:row>
      <xdr:rowOff>114569</xdr:rowOff>
    </xdr:from>
    <xdr:to>
      <xdr:col>9</xdr:col>
      <xdr:colOff>1035035</xdr:colOff>
      <xdr:row>7</xdr:row>
      <xdr:rowOff>71143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70858" y="1800494"/>
          <a:ext cx="1879677" cy="1156724"/>
        </a:xfrm>
        <a:prstGeom prst="rect">
          <a:avLst/>
        </a:prstGeom>
        <a:solidFill>
          <a:srgbClr val="FFFFFF">
            <a:shade val="85000"/>
          </a:srgbClr>
        </a:solidFill>
        <a:ln w="38100" cap="sq">
          <a:solidFill>
            <a:schemeClr val="accent5">
              <a:lumMod val="20000"/>
              <a:lumOff val="80000"/>
            </a:schemeClr>
          </a:solidFill>
          <a:miter lim="800000"/>
        </a:ln>
        <a:effectLst/>
        <a:scene3d>
          <a:camera prst="orthographicFront"/>
          <a:lightRig rig="twoPt" dir="t">
            <a:rot lat="0" lon="0" rev="7200000"/>
          </a:lightRig>
        </a:scene3d>
        <a:sp3d>
          <a:contourClr>
            <a:srgbClr val="FFFFFF"/>
          </a:contourClr>
        </a:sp3d>
      </xdr:spPr>
    </xdr:pic>
    <xdr:clientData/>
  </xdr:twoCellAnchor>
  <xdr:twoCellAnchor>
    <xdr:from>
      <xdr:col>8</xdr:col>
      <xdr:colOff>523703</xdr:colOff>
      <xdr:row>7</xdr:row>
      <xdr:rowOff>626030</xdr:rowOff>
    </xdr:from>
    <xdr:to>
      <xdr:col>9</xdr:col>
      <xdr:colOff>847789</xdr:colOff>
      <xdr:row>11</xdr:row>
      <xdr:rowOff>613645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58103" y="3512105"/>
          <a:ext cx="1505186" cy="2006915"/>
        </a:xfrm>
        <a:prstGeom prst="rect">
          <a:avLst/>
        </a:prstGeom>
        <a:solidFill>
          <a:srgbClr val="FFFFFF">
            <a:shade val="85000"/>
          </a:srgbClr>
        </a:solidFill>
        <a:ln w="38100" cap="sq">
          <a:solidFill>
            <a:schemeClr val="accent5">
              <a:lumMod val="20000"/>
              <a:lumOff val="80000"/>
            </a:schemeClr>
          </a:solidFill>
          <a:miter lim="800000"/>
        </a:ln>
        <a:effectLst/>
        <a:scene3d>
          <a:camera prst="orthographicFront"/>
          <a:lightRig rig="twoPt" dir="t">
            <a:rot lat="0" lon="0" rev="7200000"/>
          </a:lightRig>
        </a:scene3d>
        <a:sp3d>
          <a:contourClr>
            <a:srgbClr val="FFFFFF"/>
          </a:contourClr>
        </a:sp3d>
      </xdr:spPr>
    </xdr:pic>
    <xdr:clientData/>
  </xdr:twoCellAnchor>
  <xdr:twoCellAnchor>
    <xdr:from>
      <xdr:col>8</xdr:col>
      <xdr:colOff>304800</xdr:colOff>
      <xdr:row>11</xdr:row>
      <xdr:rowOff>752475</xdr:rowOff>
    </xdr:from>
    <xdr:to>
      <xdr:col>9</xdr:col>
      <xdr:colOff>1059030</xdr:colOff>
      <xdr:row>15</xdr:row>
      <xdr:rowOff>813710</xdr:rowOff>
    </xdr:to>
    <xdr:sp macro="" textlink="">
      <xdr:nvSpPr>
        <xdr:cNvPr id="5" name="텍스트 상자 4" descr="주소&#10;주소, 우편 번호&#10;&#10;전화&#10;팩스&#10;전자 메일&#10;웹&#10;" title="주소 블록"/>
        <xdr:cNvSpPr txBox="1"/>
      </xdr:nvSpPr>
      <xdr:spPr>
        <a:xfrm>
          <a:off x="8839200" y="5657850"/>
          <a:ext cx="1935330" cy="2080535"/>
        </a:xfrm>
        <a:prstGeom prst="rect">
          <a:avLst/>
        </a:prstGeom>
        <a:noFill/>
        <a:ln w="38100" cap="sq">
          <a:solidFill>
            <a:schemeClr val="accent5">
              <a:lumMod val="20000"/>
              <a:lumOff val="80000"/>
            </a:schemeClr>
          </a:solidFill>
          <a:miter lim="800000"/>
        </a:ln>
        <a:effectLst/>
        <a:scene3d>
          <a:camera prst="orthographicFront"/>
          <a:lightRig rig="twoPt" dir="t">
            <a:rot lat="0" lon="0" rev="7200000"/>
          </a:lightRig>
        </a:scene3d>
        <a:sp3d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2880" rIns="182880" rtlCol="0" anchor="ctr" anchorCtr="0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altLang="ko-KR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08서울남산체 B" panose="02020603020101020101" pitchFamily="18" charset="-127"/>
            <a:ea typeface="08서울남산체 B" panose="02020603020101020101" pitchFamily="18" charset="-127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경기도 수원시 영통구 이의동 </a:t>
          </a:r>
          <a:r>
            <a:rPr kumimoji="0" lang="en-US" altLang="ko-K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1348-3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이루리타워 지하</a:t>
          </a:r>
          <a:r>
            <a:rPr kumimoji="0" lang="en-US" altLang="ko-K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1</a:t>
          </a:r>
          <a:r>
            <a:rPr kumimoji="0" lang="ko-KR" altLang="en-US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층</a:t>
          </a:r>
          <a:endParaRPr kumimoji="0" lang="en-US" altLang="ko-KR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08서울남산체 B" panose="02020603020101020101" pitchFamily="18" charset="-127"/>
            <a:ea typeface="08서울남산체 B" panose="02020603020101020101" pitchFamily="18" charset="-127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광교주민센터 옆건물</a:t>
          </a:r>
          <a:endParaRPr kumimoji="0" lang="en-US" altLang="ko-KR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08서울남산체 B" panose="02020603020101020101" pitchFamily="18" charset="-127"/>
            <a:ea typeface="08서울남산체 B" panose="02020603020101020101" pitchFamily="18" charset="-127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altLang="ko-KR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08서울남산체 B" panose="02020603020101020101" pitchFamily="18" charset="-127"/>
            <a:ea typeface="08서울남산체 B" panose="02020603020101020101" pitchFamily="18" charset="-127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문의 </a:t>
          </a:r>
          <a:r>
            <a:rPr kumimoji="0" lang="en-US" altLang="ko-K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: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이인근 </a:t>
          </a:r>
          <a:r>
            <a:rPr kumimoji="0" lang="en-US" altLang="ko-K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010 2793 0001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김형오 </a:t>
          </a:r>
          <a:r>
            <a:rPr kumimoji="0" lang="en-US" altLang="ko-K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010 3340 5789</a:t>
          </a:r>
          <a:endParaRPr kumimoji="0" lang="ko-KR" altLang="en-US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08서울남산체 B" panose="02020603020101020101" pitchFamily="18" charset="-127"/>
            <a:ea typeface="08서울남산체 B" panose="02020603020101020101" pitchFamily="18" charset="-127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rgbClr val="A19574"/>
            </a:solidFill>
            <a:effectLst/>
            <a:uLnTx/>
            <a:uFillTx/>
            <a:latin typeface="맑은 고딕" panose="020B0503020000020004" pitchFamily="50" charset="-127"/>
            <a:ea typeface="맑은 고딕" panose="020B0503020000020004" pitchFamily="50" charset="-127"/>
            <a:cs typeface="+mn-cs"/>
          </a:endParaRPr>
        </a:p>
      </xdr:txBody>
    </xdr:sp>
    <xdr:clientData/>
  </xdr:twoCellAnchor>
  <xdr:twoCellAnchor>
    <xdr:from>
      <xdr:col>7</xdr:col>
      <xdr:colOff>9525</xdr:colOff>
      <xdr:row>11</xdr:row>
      <xdr:rowOff>114300</xdr:rowOff>
    </xdr:from>
    <xdr:to>
      <xdr:col>8</xdr:col>
      <xdr:colOff>0</xdr:colOff>
      <xdr:row>11</xdr:row>
      <xdr:rowOff>114300</xdr:rowOff>
    </xdr:to>
    <xdr:cxnSp macro="">
      <xdr:nvCxnSpPr>
        <xdr:cNvPr id="8" name="직선 화살표 연결선 7"/>
        <xdr:cNvCxnSpPr/>
      </xdr:nvCxnSpPr>
      <xdr:spPr>
        <a:xfrm flipH="1">
          <a:off x="7362825" y="5019675"/>
          <a:ext cx="1171575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</xdr:colOff>
      <xdr:row>13</xdr:row>
      <xdr:rowOff>85725</xdr:rowOff>
    </xdr:from>
    <xdr:to>
      <xdr:col>4</xdr:col>
      <xdr:colOff>0</xdr:colOff>
      <xdr:row>13</xdr:row>
      <xdr:rowOff>85725</xdr:rowOff>
    </xdr:to>
    <xdr:cxnSp macro="">
      <xdr:nvCxnSpPr>
        <xdr:cNvPr id="10" name="직선 화살표 연결선 9"/>
        <xdr:cNvCxnSpPr/>
      </xdr:nvCxnSpPr>
      <xdr:spPr>
        <a:xfrm>
          <a:off x="276225" y="6000750"/>
          <a:ext cx="3533775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11</xdr:row>
      <xdr:rowOff>104775</xdr:rowOff>
    </xdr:from>
    <xdr:to>
      <xdr:col>3</xdr:col>
      <xdr:colOff>0</xdr:colOff>
      <xdr:row>11</xdr:row>
      <xdr:rowOff>104775</xdr:rowOff>
    </xdr:to>
    <xdr:cxnSp macro="">
      <xdr:nvCxnSpPr>
        <xdr:cNvPr id="4" name="직선 화살표 연결선 3"/>
        <xdr:cNvCxnSpPr/>
      </xdr:nvCxnSpPr>
      <xdr:spPr>
        <a:xfrm>
          <a:off x="266700" y="5010150"/>
          <a:ext cx="2362200" cy="0"/>
        </a:xfrm>
        <a:prstGeom prst="straightConnector1">
          <a:avLst/>
        </a:prstGeom>
        <a:ln>
          <a:solidFill>
            <a:srgbClr val="FF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295275</xdr:colOff>
      <xdr:row>11</xdr:row>
      <xdr:rowOff>152400</xdr:rowOff>
    </xdr:from>
    <xdr:ext cx="1857375" cy="561179"/>
    <xdr:sp macro="" textlink="">
      <xdr:nvSpPr>
        <xdr:cNvPr id="7" name="TextBox 6"/>
        <xdr:cNvSpPr txBox="1"/>
      </xdr:nvSpPr>
      <xdr:spPr>
        <a:xfrm>
          <a:off x="561975" y="5057775"/>
          <a:ext cx="1857375" cy="5611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썩세스      리더스 랠리</a:t>
          </a:r>
          <a:endParaRPr lang="en-US" altLang="ko-KR" sz="1400">
            <a:latin typeface="08서울남산체 B" panose="02020603020101020101" pitchFamily="18" charset="-127"/>
            <a:ea typeface="08서울남산체 B" panose="02020603020101020101" pitchFamily="18" charset="-127"/>
          </a:endParaRPr>
        </a:p>
        <a:p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대명 홍천    비발디</a:t>
          </a:r>
        </a:p>
      </xdr:txBody>
    </xdr:sp>
    <xdr:clientData/>
  </xdr:oneCellAnchor>
  <xdr:oneCellAnchor>
    <xdr:from>
      <xdr:col>1</xdr:col>
      <xdr:colOff>495301</xdr:colOff>
      <xdr:row>13</xdr:row>
      <xdr:rowOff>276225</xdr:rowOff>
    </xdr:from>
    <xdr:ext cx="2847974" cy="360099"/>
    <xdr:sp macro="" textlink="">
      <xdr:nvSpPr>
        <xdr:cNvPr id="9" name="TextBox 8"/>
        <xdr:cNvSpPr txBox="1"/>
      </xdr:nvSpPr>
      <xdr:spPr>
        <a:xfrm>
          <a:off x="762001" y="6191250"/>
          <a:ext cx="2847974" cy="3600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ko-KR" altLang="en-US" sz="1600">
              <a:latin typeface="08서울남산체 B" panose="02020603020101020101" pitchFamily="18" charset="-127"/>
              <a:ea typeface="08서울남산체 B" panose="02020603020101020101" pitchFamily="18" charset="-127"/>
            </a:rPr>
            <a:t> 추       석       연        휴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336458</xdr:colOff>
      <xdr:row>3</xdr:row>
      <xdr:rowOff>22184</xdr:rowOff>
    </xdr:from>
    <xdr:to>
      <xdr:col>9</xdr:col>
      <xdr:colOff>1035035</xdr:colOff>
      <xdr:row>7</xdr:row>
      <xdr:rowOff>496904</xdr:rowOff>
    </xdr:to>
    <xdr:pic>
      <xdr:nvPicPr>
        <xdr:cNvPr id="2" name="그림 1" descr="데친 근대 위의 가리비 관자 구이. 이 그림을 변경하려면 그림을 마우스 오른쪽 단추로 클릭한 다음 [그림 바꾸기]를 클릭하세요." title="10월 이미지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70858" y="1374734"/>
          <a:ext cx="1879677" cy="2008245"/>
        </a:xfrm>
        <a:prstGeom prst="rect">
          <a:avLst/>
        </a:prstGeom>
        <a:solidFill>
          <a:srgbClr val="FFFFFF">
            <a:shade val="85000"/>
          </a:srgbClr>
        </a:solidFill>
        <a:ln w="38100" cap="sq">
          <a:solidFill>
            <a:schemeClr val="accent5">
              <a:lumMod val="20000"/>
              <a:lumOff val="80000"/>
            </a:schemeClr>
          </a:solidFill>
          <a:miter lim="800000"/>
        </a:ln>
        <a:effectLst/>
        <a:scene3d>
          <a:camera prst="orthographicFront"/>
          <a:lightRig rig="twoPt" dir="t">
            <a:rot lat="0" lon="0" rev="7200000"/>
          </a:lightRig>
        </a:scene3d>
        <a:sp3d>
          <a:contourClr>
            <a:srgbClr val="FFFFFF"/>
          </a:contourClr>
        </a:sp3d>
      </xdr:spPr>
    </xdr:pic>
    <xdr:clientData/>
  </xdr:twoCellAnchor>
  <xdr:twoCellAnchor>
    <xdr:from>
      <xdr:col>8</xdr:col>
      <xdr:colOff>336458</xdr:colOff>
      <xdr:row>7</xdr:row>
      <xdr:rowOff>626030</xdr:rowOff>
    </xdr:from>
    <xdr:to>
      <xdr:col>9</xdr:col>
      <xdr:colOff>1035035</xdr:colOff>
      <xdr:row>11</xdr:row>
      <xdr:rowOff>613645</xdr:rowOff>
    </xdr:to>
    <xdr:pic>
      <xdr:nvPicPr>
        <xdr:cNvPr id="6" name="그림 5" descr="신선한 근대가 담긴 그릇. 이 그림을 변경하려면 그림을 마우스 오른쪽 단추로 클릭한 다음 [그림 바꾸기]를 클릭하세요." title="10월 이미지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70858" y="3512105"/>
          <a:ext cx="1879677" cy="2006915"/>
        </a:xfrm>
        <a:prstGeom prst="rect">
          <a:avLst/>
        </a:prstGeom>
        <a:solidFill>
          <a:srgbClr val="FFFFFF">
            <a:shade val="85000"/>
          </a:srgbClr>
        </a:solidFill>
        <a:ln w="38100" cap="sq">
          <a:solidFill>
            <a:schemeClr val="accent5">
              <a:lumMod val="20000"/>
              <a:lumOff val="80000"/>
            </a:schemeClr>
          </a:solidFill>
          <a:miter lim="800000"/>
        </a:ln>
        <a:effectLst/>
        <a:scene3d>
          <a:camera prst="orthographicFront"/>
          <a:lightRig rig="twoPt" dir="t">
            <a:rot lat="0" lon="0" rev="7200000"/>
          </a:lightRig>
        </a:scene3d>
        <a:sp3d>
          <a:contourClr>
            <a:srgbClr val="FFFFFF"/>
          </a:contourClr>
        </a:sp3d>
      </xdr:spPr>
    </xdr:pic>
    <xdr:clientData/>
  </xdr:twoCellAnchor>
  <xdr:twoCellAnchor>
    <xdr:from>
      <xdr:col>8</xdr:col>
      <xdr:colOff>295275</xdr:colOff>
      <xdr:row>11</xdr:row>
      <xdr:rowOff>733425</xdr:rowOff>
    </xdr:from>
    <xdr:to>
      <xdr:col>9</xdr:col>
      <xdr:colOff>1049505</xdr:colOff>
      <xdr:row>15</xdr:row>
      <xdr:rowOff>794660</xdr:rowOff>
    </xdr:to>
    <xdr:sp macro="" textlink="">
      <xdr:nvSpPr>
        <xdr:cNvPr id="5" name="텍스트 상자 4" descr="주소&#10;주소, 우편 번호&#10;&#10;전화&#10;팩스&#10;전자 메일&#10;웹&#10;" title="주소 블록"/>
        <xdr:cNvSpPr txBox="1"/>
      </xdr:nvSpPr>
      <xdr:spPr>
        <a:xfrm>
          <a:off x="8829675" y="5638800"/>
          <a:ext cx="1935330" cy="2080535"/>
        </a:xfrm>
        <a:prstGeom prst="rect">
          <a:avLst/>
        </a:prstGeom>
        <a:noFill/>
        <a:ln w="38100" cap="sq">
          <a:solidFill>
            <a:schemeClr val="accent5">
              <a:lumMod val="20000"/>
              <a:lumOff val="80000"/>
            </a:schemeClr>
          </a:solidFill>
          <a:miter lim="800000"/>
        </a:ln>
        <a:effectLst/>
        <a:scene3d>
          <a:camera prst="orthographicFront"/>
          <a:lightRig rig="twoPt" dir="t">
            <a:rot lat="0" lon="0" rev="7200000"/>
          </a:lightRig>
        </a:scene3d>
        <a:sp3d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2880" rIns="182880" rtlCol="0" anchor="ctr" anchorCtr="0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주소 입력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주소</a:t>
          </a:r>
          <a:r>
            <a:rPr kumimoji="0" lang="en-US" altLang="ko-KR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, </a:t>
          </a: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우편 번호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rgbClr val="A19574"/>
            </a:solidFill>
            <a:effectLst/>
            <a:uLnTx/>
            <a:uFillTx/>
            <a:latin typeface="맑은 고딕" panose="020B0503020000020004" pitchFamily="50" charset="-127"/>
            <a:ea typeface="맑은 고딕" panose="020B0503020000020004" pitchFamily="50" charset="-127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전화</a:t>
          </a:r>
          <a:r>
            <a:rPr kumimoji="0" lang="en-US" altLang="ko-KR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: 555.123.0123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팩스</a:t>
          </a:r>
          <a:r>
            <a:rPr kumimoji="0" lang="en-US" altLang="ko-KR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: 555.123.0124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맑은 고딕" panose="020B0503020000020004" pitchFamily="50" charset="-127"/>
            <a:ea typeface="맑은 고딕" panose="020B0503020000020004" pitchFamily="50" charset="-127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C17529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info@example.com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C17529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www.example.com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336458</xdr:colOff>
      <xdr:row>3</xdr:row>
      <xdr:rowOff>22184</xdr:rowOff>
    </xdr:from>
    <xdr:to>
      <xdr:col>9</xdr:col>
      <xdr:colOff>1035035</xdr:colOff>
      <xdr:row>7</xdr:row>
      <xdr:rowOff>496904</xdr:rowOff>
    </xdr:to>
    <xdr:pic>
      <xdr:nvPicPr>
        <xdr:cNvPr id="2" name="그림 1" descr="요거트와 파슬리 가루로 장식한 당근 수프 두 그릇. 이 그림을 변경하려면 그림을 마우스 오른쪽 단추로 클릭한 다음 [그림 바꾸기]를 클릭하세요." title="11월 이미지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70858" y="1374734"/>
          <a:ext cx="1879677" cy="2008245"/>
        </a:xfrm>
        <a:prstGeom prst="rect">
          <a:avLst/>
        </a:prstGeom>
        <a:solidFill>
          <a:srgbClr val="FFFFFF">
            <a:shade val="85000"/>
          </a:srgbClr>
        </a:solidFill>
        <a:ln w="38100" cap="sq">
          <a:solidFill>
            <a:schemeClr val="accent5">
              <a:lumMod val="20000"/>
              <a:lumOff val="80000"/>
            </a:schemeClr>
          </a:solidFill>
          <a:miter lim="800000"/>
        </a:ln>
        <a:effectLst/>
        <a:scene3d>
          <a:camera prst="orthographicFront"/>
          <a:lightRig rig="twoPt" dir="t">
            <a:rot lat="0" lon="0" rev="7200000"/>
          </a:lightRig>
        </a:scene3d>
        <a:sp3d>
          <a:contourClr>
            <a:srgbClr val="FFFFFF"/>
          </a:contourClr>
        </a:sp3d>
      </xdr:spPr>
    </xdr:pic>
    <xdr:clientData/>
  </xdr:twoCellAnchor>
  <xdr:twoCellAnchor>
    <xdr:from>
      <xdr:col>8</xdr:col>
      <xdr:colOff>336458</xdr:colOff>
      <xdr:row>7</xdr:row>
      <xdr:rowOff>626030</xdr:rowOff>
    </xdr:from>
    <xdr:to>
      <xdr:col>9</xdr:col>
      <xdr:colOff>1035035</xdr:colOff>
      <xdr:row>11</xdr:row>
      <xdr:rowOff>613645</xdr:rowOff>
    </xdr:to>
    <xdr:pic>
      <xdr:nvPicPr>
        <xdr:cNvPr id="6" name="그림 5" descr="신선한 당근 다발. 이 그림을 변경하려면 그림을 마우스 오른쪽 단추로 클릭한 다음 [그림 바꾸기]를 클릭하세요." title="11월 이미지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70858" y="3512105"/>
          <a:ext cx="1879677" cy="2006915"/>
        </a:xfrm>
        <a:prstGeom prst="rect">
          <a:avLst/>
        </a:prstGeom>
        <a:solidFill>
          <a:srgbClr val="FFFFFF">
            <a:shade val="85000"/>
          </a:srgbClr>
        </a:solidFill>
        <a:ln w="38100" cap="sq">
          <a:solidFill>
            <a:schemeClr val="accent5">
              <a:lumMod val="20000"/>
              <a:lumOff val="80000"/>
            </a:schemeClr>
          </a:solidFill>
          <a:miter lim="800000"/>
        </a:ln>
        <a:effectLst/>
        <a:scene3d>
          <a:camera prst="orthographicFront"/>
          <a:lightRig rig="twoPt" dir="t">
            <a:rot lat="0" lon="0" rev="7200000"/>
          </a:lightRig>
        </a:scene3d>
        <a:sp3d>
          <a:contourClr>
            <a:srgbClr val="FFFFFF"/>
          </a:contourClr>
        </a:sp3d>
      </xdr:spPr>
    </xdr:pic>
    <xdr:clientData/>
  </xdr:twoCellAnchor>
  <xdr:twoCellAnchor>
    <xdr:from>
      <xdr:col>8</xdr:col>
      <xdr:colOff>314325</xdr:colOff>
      <xdr:row>11</xdr:row>
      <xdr:rowOff>733425</xdr:rowOff>
    </xdr:from>
    <xdr:to>
      <xdr:col>9</xdr:col>
      <xdr:colOff>1068555</xdr:colOff>
      <xdr:row>15</xdr:row>
      <xdr:rowOff>794660</xdr:rowOff>
    </xdr:to>
    <xdr:sp macro="" textlink="">
      <xdr:nvSpPr>
        <xdr:cNvPr id="5" name="텍스트 상자 4" descr="주소&#10;주소, 우편 번호&#10;&#10;전화&#10;팩스&#10;전자 메일&#10;웹&#10;" title="주소 블록"/>
        <xdr:cNvSpPr txBox="1"/>
      </xdr:nvSpPr>
      <xdr:spPr>
        <a:xfrm>
          <a:off x="8848725" y="5638800"/>
          <a:ext cx="1935330" cy="2080535"/>
        </a:xfrm>
        <a:prstGeom prst="rect">
          <a:avLst/>
        </a:prstGeom>
        <a:noFill/>
        <a:ln w="38100" cap="sq">
          <a:solidFill>
            <a:schemeClr val="accent5">
              <a:lumMod val="20000"/>
              <a:lumOff val="80000"/>
            </a:schemeClr>
          </a:solidFill>
          <a:miter lim="800000"/>
        </a:ln>
        <a:effectLst/>
        <a:scene3d>
          <a:camera prst="orthographicFront"/>
          <a:lightRig rig="twoPt" dir="t">
            <a:rot lat="0" lon="0" rev="7200000"/>
          </a:lightRig>
        </a:scene3d>
        <a:sp3d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2880" rIns="182880" rtlCol="0" anchor="ctr" anchorCtr="0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주소 입력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주소</a:t>
          </a:r>
          <a:r>
            <a:rPr kumimoji="0" lang="en-US" altLang="ko-KR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, </a:t>
          </a: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우편 번호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rgbClr val="A19574"/>
            </a:solidFill>
            <a:effectLst/>
            <a:uLnTx/>
            <a:uFillTx/>
            <a:latin typeface="맑은 고딕" panose="020B0503020000020004" pitchFamily="50" charset="-127"/>
            <a:ea typeface="맑은 고딕" panose="020B0503020000020004" pitchFamily="50" charset="-127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전화</a:t>
          </a:r>
          <a:r>
            <a:rPr kumimoji="0" lang="en-US" altLang="ko-KR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: 555.123.0123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팩스</a:t>
          </a:r>
          <a:r>
            <a:rPr kumimoji="0" lang="en-US" altLang="ko-KR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: 555.123.0124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맑은 고딕" panose="020B0503020000020004" pitchFamily="50" charset="-127"/>
            <a:ea typeface="맑은 고딕" panose="020B0503020000020004" pitchFamily="50" charset="-127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C17529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info@example.com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C17529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www.example.com</a:t>
          </a:r>
        </a:p>
        <a:p>
          <a:endParaRPr lang="en-US" sz="1100">
            <a:latin typeface="맑은 고딕" panose="020B0503020000020004" pitchFamily="50" charset="-127"/>
            <a:ea typeface="맑은 고딕" panose="020B0503020000020004" pitchFamily="50" charset="-127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336458</xdr:colOff>
      <xdr:row>3</xdr:row>
      <xdr:rowOff>22184</xdr:rowOff>
    </xdr:from>
    <xdr:to>
      <xdr:col>9</xdr:col>
      <xdr:colOff>1035035</xdr:colOff>
      <xdr:row>7</xdr:row>
      <xdr:rowOff>496904</xdr:rowOff>
    </xdr:to>
    <xdr:pic>
      <xdr:nvPicPr>
        <xdr:cNvPr id="2" name="그림 1" descr="브라우니 크럼블 토핑을 올린 브라우니 파르페 요리. 이 그림을 변경하려면 그림을 마우스 오른쪽 단추로 클릭한 다음 [그림 바꾸기]를 클릭하세요." title="12월 이미지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70858" y="1374734"/>
          <a:ext cx="1879677" cy="2008245"/>
        </a:xfrm>
        <a:prstGeom prst="rect">
          <a:avLst/>
        </a:prstGeom>
        <a:solidFill>
          <a:srgbClr val="FFFFFF">
            <a:shade val="85000"/>
          </a:srgbClr>
        </a:solidFill>
        <a:ln w="38100" cap="sq">
          <a:solidFill>
            <a:schemeClr val="accent5">
              <a:lumMod val="20000"/>
              <a:lumOff val="80000"/>
            </a:schemeClr>
          </a:solidFill>
          <a:miter lim="800000"/>
        </a:ln>
        <a:effectLst/>
        <a:scene3d>
          <a:camera prst="orthographicFront"/>
          <a:lightRig rig="twoPt" dir="t">
            <a:rot lat="0" lon="0" rev="7200000"/>
          </a:lightRig>
        </a:scene3d>
        <a:sp3d>
          <a:contourClr>
            <a:srgbClr val="FFFFFF"/>
          </a:contourClr>
        </a:sp3d>
      </xdr:spPr>
    </xdr:pic>
    <xdr:clientData/>
  </xdr:twoCellAnchor>
  <xdr:twoCellAnchor>
    <xdr:from>
      <xdr:col>8</xdr:col>
      <xdr:colOff>336458</xdr:colOff>
      <xdr:row>7</xdr:row>
      <xdr:rowOff>626030</xdr:rowOff>
    </xdr:from>
    <xdr:to>
      <xdr:col>9</xdr:col>
      <xdr:colOff>1035035</xdr:colOff>
      <xdr:row>11</xdr:row>
      <xdr:rowOff>613645</xdr:rowOff>
    </xdr:to>
    <xdr:pic>
      <xdr:nvPicPr>
        <xdr:cNvPr id="6" name="그림 5" descr="갓구운 브라우니 더미. 이 그림을 변경하려면 그림을 마우스 오른쪽 단추로 클릭한 다음 [그림 바꾸기]를 클릭하세요." title="12월 이미지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70858" y="3512105"/>
          <a:ext cx="1879677" cy="2006915"/>
        </a:xfrm>
        <a:prstGeom prst="rect">
          <a:avLst/>
        </a:prstGeom>
        <a:solidFill>
          <a:srgbClr val="FFFFFF">
            <a:shade val="85000"/>
          </a:srgbClr>
        </a:solidFill>
        <a:ln w="38100" cap="sq">
          <a:solidFill>
            <a:schemeClr val="accent5">
              <a:lumMod val="20000"/>
              <a:lumOff val="80000"/>
            </a:schemeClr>
          </a:solidFill>
          <a:miter lim="800000"/>
        </a:ln>
        <a:effectLst/>
        <a:scene3d>
          <a:camera prst="orthographicFront"/>
          <a:lightRig rig="twoPt" dir="t">
            <a:rot lat="0" lon="0" rev="7200000"/>
          </a:lightRig>
        </a:scene3d>
        <a:sp3d>
          <a:contourClr>
            <a:srgbClr val="FFFFFF"/>
          </a:contourClr>
        </a:sp3d>
      </xdr:spPr>
    </xdr:pic>
    <xdr:clientData/>
  </xdr:twoCellAnchor>
  <xdr:twoCellAnchor>
    <xdr:from>
      <xdr:col>8</xdr:col>
      <xdr:colOff>314325</xdr:colOff>
      <xdr:row>11</xdr:row>
      <xdr:rowOff>781050</xdr:rowOff>
    </xdr:from>
    <xdr:to>
      <xdr:col>9</xdr:col>
      <xdr:colOff>1068555</xdr:colOff>
      <xdr:row>16</xdr:row>
      <xdr:rowOff>23135</xdr:rowOff>
    </xdr:to>
    <xdr:sp macro="" textlink="">
      <xdr:nvSpPr>
        <xdr:cNvPr id="5" name="텍스트 상자 4" descr="주소&#10;주소, 우편 번호&#10;&#10;전화&#10;팩스&#10;전자 메일&#10;웹&#10;" title="주소 블록"/>
        <xdr:cNvSpPr txBox="1"/>
      </xdr:nvSpPr>
      <xdr:spPr>
        <a:xfrm>
          <a:off x="8848725" y="5686425"/>
          <a:ext cx="1935330" cy="2080535"/>
        </a:xfrm>
        <a:prstGeom prst="rect">
          <a:avLst/>
        </a:prstGeom>
        <a:noFill/>
        <a:ln w="38100" cap="sq">
          <a:solidFill>
            <a:schemeClr val="accent5">
              <a:lumMod val="20000"/>
              <a:lumOff val="80000"/>
            </a:schemeClr>
          </a:solidFill>
          <a:miter lim="800000"/>
        </a:ln>
        <a:effectLst/>
        <a:scene3d>
          <a:camera prst="orthographicFront"/>
          <a:lightRig rig="twoPt" dir="t">
            <a:rot lat="0" lon="0" rev="7200000"/>
          </a:lightRig>
        </a:scene3d>
        <a:sp3d>
          <a:contourClr>
            <a:srgbClr val="FFFFFF"/>
          </a:contourClr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182880" rIns="182880" rtlCol="0" anchor="ctr" anchorCtr="0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60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주소 입력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주소</a:t>
          </a:r>
          <a:r>
            <a:rPr kumimoji="0" lang="en-US" altLang="ko-KR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, </a:t>
          </a: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우편 번호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rgbClr val="A19574"/>
            </a:solidFill>
            <a:effectLst/>
            <a:uLnTx/>
            <a:uFillTx/>
            <a:latin typeface="맑은 고딕" panose="020B0503020000020004" pitchFamily="50" charset="-127"/>
            <a:ea typeface="맑은 고딕" panose="020B0503020000020004" pitchFamily="50" charset="-127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전화</a:t>
          </a:r>
          <a:r>
            <a:rPr kumimoji="0" lang="en-US" altLang="ko-KR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: 555.123.0123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팩스</a:t>
          </a:r>
          <a:r>
            <a:rPr kumimoji="0" lang="en-US" altLang="ko-KR" sz="1100" b="0" i="0" u="none" strike="noStrike" kern="0" cap="none" spc="0" normalizeH="0" baseline="0" noProof="0">
              <a:ln>
                <a:noFill/>
              </a:ln>
              <a:solidFill>
                <a:srgbClr val="A19574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: 555.123.0124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맑은 고딕" panose="020B0503020000020004" pitchFamily="50" charset="-127"/>
            <a:ea typeface="맑은 고딕" panose="020B0503020000020004" pitchFamily="50" charset="-127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C17529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info@example.com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C17529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www.example.com</a:t>
          </a:r>
        </a:p>
      </xdr:txBody>
    </xdr:sp>
    <xdr:clientData/>
  </xdr:twoCellAnchor>
</xdr:wsDr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rek">
  <a:themeElements>
    <a:clrScheme name="Trek">
      <a:dk1>
        <a:sysClr val="windowText" lastClr="000000"/>
      </a:dk1>
      <a:lt1>
        <a:sysClr val="window" lastClr="FFFFFF"/>
      </a:lt1>
      <a:dk2>
        <a:srgbClr val="4E3B30"/>
      </a:dk2>
      <a:lt2>
        <a:srgbClr val="FBEEC9"/>
      </a:lt2>
      <a:accent1>
        <a:srgbClr val="F0A22E"/>
      </a:accent1>
      <a:accent2>
        <a:srgbClr val="A5644E"/>
      </a:accent2>
      <a:accent3>
        <a:srgbClr val="B58B80"/>
      </a:accent3>
      <a:accent4>
        <a:srgbClr val="C3986D"/>
      </a:accent4>
      <a:accent5>
        <a:srgbClr val="A19574"/>
      </a:accent5>
      <a:accent6>
        <a:srgbClr val="C17529"/>
      </a:accent6>
      <a:hlink>
        <a:srgbClr val="AD1F1F"/>
      </a:hlink>
      <a:folHlink>
        <a:srgbClr val="FFC42F"/>
      </a:folHlink>
    </a:clrScheme>
    <a:fontScheme name="Custom 1">
      <a:majorFont>
        <a:latin typeface="Georgia"/>
        <a:ea typeface=""/>
        <a:cs typeface=""/>
      </a:majorFont>
      <a:minorFont>
        <a:latin typeface="Cambria"/>
        <a:ea typeface=""/>
        <a:cs typeface=""/>
      </a:minorFont>
    </a:fontScheme>
    <a:fmtScheme name="Trek">
      <a:fillStyleLst>
        <a:solidFill>
          <a:schemeClr val="phClr"/>
        </a:solidFill>
        <a:gradFill rotWithShape="1">
          <a:gsLst>
            <a:gs pos="0">
              <a:schemeClr val="phClr">
                <a:tint val="30000"/>
                <a:satMod val="250000"/>
              </a:schemeClr>
            </a:gs>
            <a:gs pos="72000">
              <a:schemeClr val="phClr">
                <a:tint val="75000"/>
                <a:satMod val="210000"/>
              </a:schemeClr>
            </a:gs>
            <a:gs pos="100000">
              <a:schemeClr val="phClr">
                <a:tint val="85000"/>
                <a:satMod val="21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5000"/>
                <a:shade val="85000"/>
                <a:satMod val="230000"/>
              </a:schemeClr>
            </a:gs>
            <a:gs pos="25000">
              <a:schemeClr val="phClr">
                <a:tint val="90000"/>
                <a:shade val="70000"/>
                <a:satMod val="220000"/>
              </a:schemeClr>
            </a:gs>
            <a:gs pos="50000">
              <a:schemeClr val="phClr">
                <a:tint val="90000"/>
                <a:shade val="58000"/>
                <a:satMod val="225000"/>
              </a:schemeClr>
            </a:gs>
            <a:gs pos="65000">
              <a:schemeClr val="phClr">
                <a:tint val="90000"/>
                <a:shade val="58000"/>
                <a:satMod val="225000"/>
              </a:schemeClr>
            </a:gs>
            <a:gs pos="80000">
              <a:schemeClr val="phClr">
                <a:tint val="90000"/>
                <a:shade val="69000"/>
                <a:satMod val="220000"/>
              </a:schemeClr>
            </a:gs>
            <a:gs pos="100000">
              <a:schemeClr val="phClr">
                <a:tint val="77000"/>
                <a:shade val="80000"/>
                <a:satMod val="230000"/>
              </a:schemeClr>
            </a:gs>
          </a:gsLst>
          <a:lin ang="5400000" scaled="1"/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0"/>
            </a:lightRig>
          </a:scene3d>
          <a:sp3d prstMaterial="metal">
            <a:bevelT w="10000" h="10000"/>
          </a:sp3d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bliqueTopLeft" fov="600000">
              <a:rot lat="0" lon="0" rev="0"/>
            </a:camera>
            <a:lightRig rig="balanced" dir="t">
              <a:rot lat="0" lon="0" rev="19200000"/>
            </a:lightRig>
          </a:scene3d>
          <a:sp3d contourW="12700" prstMaterial="matte">
            <a:bevelT w="60000" h="50800"/>
            <a:contourClr>
              <a:schemeClr val="phClr">
                <a:shade val="60000"/>
                <a:satMod val="110000"/>
              </a:schemeClr>
            </a:contourClr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90000"/>
                <a:satMod val="150000"/>
              </a:schemeClr>
              <a:schemeClr val="phClr">
                <a:tint val="88000"/>
                <a:satMod val="105000"/>
              </a:schemeClr>
            </a:duotone>
          </a:blip>
          <a:tile tx="0" ty="0" sx="95000" sy="95000" flip="none" algn="t"/>
        </a:blipFill>
        <a:blipFill>
          <a:blip xmlns:r="http://schemas.openxmlformats.org/officeDocument/2006/relationships" r:embed="rId2">
            <a:duotone>
              <a:schemeClr val="phClr">
                <a:shade val="30000"/>
                <a:satMod val="455000"/>
              </a:schemeClr>
              <a:schemeClr val="phClr">
                <a:tint val="95000"/>
                <a:satMod val="120000"/>
              </a:schemeClr>
            </a:duotone>
          </a:blip>
          <a:stretch>
            <a:fillRect/>
          </a:stretch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0" tint="-0.499984740745262"/>
    <pageSetUpPr fitToPage="1"/>
  </sheetPr>
  <dimension ref="A1:R20"/>
  <sheetViews>
    <sheetView showGridLines="0" topLeftCell="A10" zoomScaleNormal="100" workbookViewId="0">
      <selection activeCell="E6" sqref="E6"/>
    </sheetView>
  </sheetViews>
  <sheetFormatPr defaultColWidth="6.6640625" defaultRowHeight="16.5"/>
  <cols>
    <col min="1" max="1" width="3.109375" style="1" customWidth="1"/>
    <col min="2" max="9" width="13.77734375" style="1" customWidth="1"/>
    <col min="10" max="10" width="12.6640625" style="1" customWidth="1"/>
    <col min="11" max="11" width="12.44140625" style="1" customWidth="1"/>
    <col min="12" max="12" width="11.77734375" style="1" customWidth="1"/>
    <col min="13" max="13" width="11.33203125" style="1" customWidth="1"/>
    <col min="14" max="16384" width="6.6640625" style="1"/>
  </cols>
  <sheetData>
    <row r="1" spans="1:18" ht="14.25" customHeight="1">
      <c r="K1" s="2" t="s">
        <v>0</v>
      </c>
    </row>
    <row r="2" spans="1:18" ht="30" customHeight="1">
      <c r="A2" s="3"/>
      <c r="B2" s="4"/>
      <c r="C2" s="4"/>
      <c r="D2" s="4"/>
      <c r="E2" s="4"/>
      <c r="F2" s="4"/>
      <c r="G2" s="4"/>
      <c r="H2" s="4"/>
      <c r="I2" s="4"/>
      <c r="J2" s="4"/>
      <c r="K2" s="5">
        <v>2015</v>
      </c>
    </row>
    <row r="3" spans="1:18" ht="62.25" customHeight="1">
      <c r="A3" s="6"/>
      <c r="B3" s="34" t="str">
        <f>UPPER(TEXT(DATE(연간_달력,1,1),"yyyy년 mm월"))</f>
        <v>2015년 01월</v>
      </c>
      <c r="C3" s="34"/>
      <c r="D3" s="34"/>
      <c r="E3" s="34"/>
      <c r="F3" s="34"/>
      <c r="G3" s="7"/>
    </row>
    <row r="4" spans="1:18" s="6" customFormat="1" ht="26.25" customHeight="1">
      <c r="B4" s="8" t="s">
        <v>7</v>
      </c>
      <c r="C4" s="9" t="s">
        <v>1</v>
      </c>
      <c r="D4" s="9" t="s">
        <v>2</v>
      </c>
      <c r="E4" s="9" t="s">
        <v>3</v>
      </c>
      <c r="F4" s="9" t="s">
        <v>4</v>
      </c>
      <c r="G4" s="9" t="s">
        <v>5</v>
      </c>
      <c r="H4" s="10" t="s">
        <v>6</v>
      </c>
      <c r="I4" s="1"/>
      <c r="J4" s="1"/>
      <c r="L4" s="1"/>
      <c r="M4" s="11"/>
      <c r="Q4" s="1"/>
      <c r="R4" s="1"/>
    </row>
    <row r="5" spans="1:18" s="6" customFormat="1" ht="15" customHeight="1">
      <c r="B5" s="12" t="str">
        <f>IF(DAY(JanSun1)=1,"",IF(AND(YEAR(JanSun1+1)=연간_달력,MONTH(JanSun1+1)=1),JanSun1+1,""))</f>
        <v/>
      </c>
      <c r="C5" s="12" t="str">
        <f>IF(DAY(JanSun1)=1,"",IF(AND(YEAR(JanSun1+2)=연간_달력,MONTH(JanSun1+2)=1),JanSun1+2,""))</f>
        <v/>
      </c>
      <c r="D5" s="12" t="str">
        <f>IF(DAY(JanSun1)=1,"",IF(AND(YEAR(JanSun1+3)=연간_달력,MONTH(JanSun1+3)=1),JanSun1+3,""))</f>
        <v/>
      </c>
      <c r="E5" s="12" t="str">
        <f>IF(DAY(JanSun1)=1,"",IF(AND(YEAR(JanSun1+4)=연간_달력,MONTH(JanSun1+4)=1),JanSun1+4,""))</f>
        <v/>
      </c>
      <c r="F5" s="12">
        <f>IF(DAY(JanSun1)=1,"",IF(AND(YEAR(JanSun1+5)=연간_달력,MONTH(JanSun1+5)=1),JanSun1+5,""))</f>
        <v>42005</v>
      </c>
      <c r="G5" s="12">
        <f>IF(DAY(JanSun1)=1,"",IF(AND(YEAR(JanSun1+6)=연간_달력,MONTH(JanSun1+6)=1),JanSun1+6,""))</f>
        <v>42006</v>
      </c>
      <c r="H5" s="12">
        <f>IF(DAY(JanSun1)=1,IF(AND(YEAR(JanSun1)=연간_달력,MONTH(JanSun1)=1),JanSun1,""),IF(AND(YEAR(JanSun1+7)=연간_달력,MONTH(JanSun1+7)=1),JanSun1+7,""))</f>
        <v>42007</v>
      </c>
      <c r="I5" s="13"/>
      <c r="K5" s="1"/>
      <c r="L5" s="1"/>
      <c r="M5" s="1"/>
      <c r="Q5" s="14"/>
      <c r="R5" s="1"/>
    </row>
    <row r="6" spans="1:18" s="14" customFormat="1" ht="64.5" customHeight="1">
      <c r="A6" s="6"/>
      <c r="B6" s="15"/>
      <c r="C6" s="15"/>
      <c r="D6" s="15"/>
      <c r="E6" s="15"/>
      <c r="F6" s="15"/>
      <c r="G6" s="16"/>
      <c r="H6" s="16"/>
      <c r="I6" s="13"/>
    </row>
    <row r="7" spans="1:18" ht="15" customHeight="1">
      <c r="A7" s="6"/>
      <c r="B7" s="17">
        <f>IF(DAY(JanSun1)=1,IF(AND(YEAR(JanSun1+1)=연간_달력,MONTH(JanSun1+1)=1),JanSun1+1,""),IF(AND(YEAR(JanSun1+8)=연간_달력,MONTH(JanSun1+8)=1),JanSun1+8,""))</f>
        <v>42008</v>
      </c>
      <c r="C7" s="17">
        <f>IF(DAY(JanSun1)=1,IF(AND(YEAR(JanSun1+2)=연간_달력,MONTH(JanSun1+2)=1),JanSun1+2,""),IF(AND(YEAR(JanSun1+9)=연간_달력,MONTH(JanSun1+9)=1),JanSun1+9,""))</f>
        <v>42009</v>
      </c>
      <c r="D7" s="17">
        <f>IF(DAY(JanSun1)=1,IF(AND(YEAR(JanSun1+3)=연간_달력,MONTH(JanSun1+3)=1),JanSun1+3,""),IF(AND(YEAR(JanSun1+10)=연간_달력,MONTH(JanSun1+10)=1),JanSun1+10,""))</f>
        <v>42010</v>
      </c>
      <c r="E7" s="17">
        <f>IF(DAY(JanSun1)=1,IF(AND(YEAR(JanSun1+4)=연간_달력,MONTH(JanSun1+4)=1),JanSun1+4,""),IF(AND(YEAR(JanSun1+11)=연간_달력,MONTH(JanSun1+11)=1),JanSun1+11,""))</f>
        <v>42011</v>
      </c>
      <c r="F7" s="17">
        <f>IF(DAY(JanSun1)=1,IF(AND(YEAR(JanSun1+5)=연간_달력,MONTH(JanSun1+5)=1),JanSun1+5,""),IF(AND(YEAR(JanSun1+12)=연간_달력,MONTH(JanSun1+12)=1),JanSun1+12,""))</f>
        <v>42012</v>
      </c>
      <c r="G7" s="17">
        <f>IF(DAY(JanSun1)=1,IF(AND(YEAR(JanSun1+6)=연간_달력,MONTH(JanSun1+6)=1),JanSun1+6,""),IF(AND(YEAR(JanSun1+13)=연간_달력,MONTH(JanSun1+13)=1),JanSun1+13,""))</f>
        <v>42013</v>
      </c>
      <c r="H7" s="17">
        <f>IF(DAY(JanSun1)=1,IF(AND(YEAR(JanSun1+7)=연간_달력,MONTH(JanSun1+7)=1),JanSun1+7,""),IF(AND(YEAR(JanSun1+14)=연간_달력,MONTH(JanSun1+14)=1),JanSun1+14,""))</f>
        <v>42014</v>
      </c>
      <c r="I7" s="13"/>
    </row>
    <row r="8" spans="1:18" ht="64.5" customHeight="1">
      <c r="A8" s="6"/>
      <c r="B8" s="18"/>
      <c r="C8" s="18"/>
      <c r="D8" s="18"/>
      <c r="E8" s="18"/>
      <c r="F8" s="18"/>
      <c r="G8" s="19"/>
      <c r="H8" s="19"/>
      <c r="I8" s="13"/>
    </row>
    <row r="9" spans="1:18" ht="15" customHeight="1">
      <c r="A9" s="6"/>
      <c r="B9" s="20">
        <f>IF(DAY(JanSun1)=1,IF(AND(YEAR(JanSun1+8)=연간_달력,MONTH(JanSun1+8)=1),JanSun1+8,""),IF(AND(YEAR(JanSun1+15)=연간_달력,MONTH(JanSun1+15)=1),JanSun1+15,""))</f>
        <v>42015</v>
      </c>
      <c r="C9" s="20">
        <f>IF(DAY(JanSun1)=1,IF(AND(YEAR(JanSun1+9)=연간_달력,MONTH(JanSun1+9)=1),JanSun1+9,""),IF(AND(YEAR(JanSun1+16)=연간_달력,MONTH(JanSun1+16)=1),JanSun1+16,""))</f>
        <v>42016</v>
      </c>
      <c r="D9" s="20">
        <f>IF(DAY(JanSun1)=1,IF(AND(YEAR(JanSun1+10)=연간_달력,MONTH(JanSun1+10)=1),JanSun1+10,""),IF(AND(YEAR(JanSun1+17)=연간_달력,MONTH(JanSun1+17)=1),JanSun1+17,""))</f>
        <v>42017</v>
      </c>
      <c r="E9" s="20">
        <f>IF(DAY(JanSun1)=1,IF(AND(YEAR(JanSun1+11)=연간_달력,MONTH(JanSun1+11)=1),JanSun1+11,""),IF(AND(YEAR(JanSun1+18)=연간_달력,MONTH(JanSun1+18)=1),JanSun1+18,""))</f>
        <v>42018</v>
      </c>
      <c r="F9" s="20">
        <f>IF(DAY(JanSun1)=1,IF(AND(YEAR(JanSun1+12)=연간_달력,MONTH(JanSun1+12)=1),JanSun1+12,""),IF(AND(YEAR(JanSun1+19)=연간_달력,MONTH(JanSun1+19)=1),JanSun1+19,""))</f>
        <v>42019</v>
      </c>
      <c r="G9" s="20">
        <f>IF(DAY(JanSun1)=1,IF(AND(YEAR(JanSun1+13)=연간_달력,MONTH(JanSun1+13)=1),JanSun1+13,""),IF(AND(YEAR(JanSun1+20)=연간_달력,MONTH(JanSun1+20)=1),JanSun1+20,""))</f>
        <v>42020</v>
      </c>
      <c r="H9" s="20">
        <f>IF(DAY(JanSun1)=1,IF(AND(YEAR(JanSun1+14)=연간_달력,MONTH(JanSun1+14)=1),JanSun1+14,""),IF(AND(YEAR(JanSun1+21)=연간_달력,MONTH(JanSun1+21)=1),JanSun1+21,""))</f>
        <v>42021</v>
      </c>
      <c r="I9" s="13"/>
    </row>
    <row r="10" spans="1:18" ht="64.5" customHeight="1">
      <c r="A10" s="6"/>
      <c r="B10" s="15"/>
      <c r="C10" s="15"/>
      <c r="D10" s="15"/>
      <c r="E10" s="15"/>
      <c r="F10" s="15"/>
      <c r="G10" s="16"/>
      <c r="H10" s="16"/>
      <c r="I10" s="13"/>
    </row>
    <row r="11" spans="1:18" ht="15" customHeight="1">
      <c r="A11" s="6"/>
      <c r="B11" s="21">
        <f>IF(DAY(JanSun1)=1,IF(AND(YEAR(JanSun1+15)=연간_달력,MONTH(JanSun1+15)=1),JanSun1+15,""),IF(AND(YEAR(JanSun1+22)=연간_달력,MONTH(JanSun1+22)=1),JanSun1+22,""))</f>
        <v>42022</v>
      </c>
      <c r="C11" s="21">
        <f>IF(DAY(JanSun1)=1,IF(AND(YEAR(JanSun1+16)=연간_달력,MONTH(JanSun1+16)=1),JanSun1+16,""),IF(AND(YEAR(JanSun1+23)=연간_달력,MONTH(JanSun1+23)=1),JanSun1+23,""))</f>
        <v>42023</v>
      </c>
      <c r="D11" s="21">
        <f>IF(DAY(JanSun1)=1,IF(AND(YEAR(JanSun1+17)=연간_달력,MONTH(JanSun1+17)=1),JanSun1+17,""),IF(AND(YEAR(JanSun1+24)=연간_달력,MONTH(JanSun1+24)=1),JanSun1+24,""))</f>
        <v>42024</v>
      </c>
      <c r="E11" s="21">
        <f>IF(DAY(JanSun1)=1,IF(AND(YEAR(JanSun1+18)=연간_달력,MONTH(JanSun1+18)=1),JanSun1+18,""),IF(AND(YEAR(JanSun1+25)=연간_달력,MONTH(JanSun1+25)=1),JanSun1+25,""))</f>
        <v>42025</v>
      </c>
      <c r="F11" s="21">
        <f>IF(DAY(JanSun1)=1,IF(AND(YEAR(JanSun1+19)=연간_달력,MONTH(JanSun1+19)=1),JanSun1+19,""),IF(AND(YEAR(JanSun1+26)=연간_달력,MONTH(JanSun1+26)=1),JanSun1+26,""))</f>
        <v>42026</v>
      </c>
      <c r="G11" s="21">
        <f>IF(DAY(JanSun1)=1,IF(AND(YEAR(JanSun1+20)=연간_달력,MONTH(JanSun1+20)=1),JanSun1+20,""),IF(AND(YEAR(JanSun1+27)=연간_달력,MONTH(JanSun1+27)=1),JanSun1+27,""))</f>
        <v>42027</v>
      </c>
      <c r="H11" s="21">
        <f>IF(DAY(JanSun1)=1,IF(AND(YEAR(JanSun1+21)=연간_달력,MONTH(JanSun1+21)=1),JanSun1+21,""),IF(AND(YEAR(JanSun1+28)=연간_달력,MONTH(JanSun1+28)=1),JanSun1+28,""))</f>
        <v>42028</v>
      </c>
      <c r="I11" s="13"/>
    </row>
    <row r="12" spans="1:18" ht="64.5" customHeight="1">
      <c r="A12" s="6"/>
      <c r="B12" s="18"/>
      <c r="C12" s="18"/>
      <c r="D12" s="18"/>
      <c r="E12" s="18"/>
      <c r="F12" s="18"/>
      <c r="G12" s="19"/>
      <c r="H12" s="19"/>
      <c r="I12" s="13"/>
    </row>
    <row r="13" spans="1:18" ht="15" customHeight="1">
      <c r="A13" s="6"/>
      <c r="B13" s="20">
        <f>IF(DAY(JanSun1)=1,IF(AND(YEAR(JanSun1+22)=연간_달력,MONTH(JanSun1+22)=1),JanSun1+22,""),IF(AND(YEAR(JanSun1+29)=연간_달력,MONTH(JanSun1+29)=1),JanSun1+29,""))</f>
        <v>42029</v>
      </c>
      <c r="C13" s="20">
        <f>IF(DAY(JanSun1)=1,IF(AND(YEAR(JanSun1+23)=연간_달력,MONTH(JanSun1+23)=1),JanSun1+23,""),IF(AND(YEAR(JanSun1+30)=연간_달력,MONTH(JanSun1+30)=1),JanSun1+30,""))</f>
        <v>42030</v>
      </c>
      <c r="D13" s="20">
        <f>IF(DAY(JanSun1)=1,IF(AND(YEAR(JanSun1+24)=연간_달력,MONTH(JanSun1+24)=1),JanSun1+24,""),IF(AND(YEAR(JanSun1+31)=연간_달력,MONTH(JanSun1+31)=1),JanSun1+31,""))</f>
        <v>42031</v>
      </c>
      <c r="E13" s="20">
        <f>IF(DAY(JanSun1)=1,IF(AND(YEAR(JanSun1+25)=연간_달력,MONTH(JanSun1+25)=1),JanSun1+25,""),IF(AND(YEAR(JanSun1+32)=연간_달력,MONTH(JanSun1+32)=1),JanSun1+32,""))</f>
        <v>42032</v>
      </c>
      <c r="F13" s="20">
        <f>IF(DAY(JanSun1)=1,IF(AND(YEAR(JanSun1+26)=연간_달력,MONTH(JanSun1+26)=1),JanSun1+26,""),IF(AND(YEAR(JanSun1+33)=연간_달력,MONTH(JanSun1+33)=1),JanSun1+33,""))</f>
        <v>42033</v>
      </c>
      <c r="G13" s="20">
        <f>IF(DAY(JanSun1)=1,IF(AND(YEAR(JanSun1+27)=연간_달력,MONTH(JanSun1+27)=1),JanSun1+27,""),IF(AND(YEAR(JanSun1+34)=연간_달력,MONTH(JanSun1+34)=1),JanSun1+34,""))</f>
        <v>42034</v>
      </c>
      <c r="H13" s="20">
        <f>IF(DAY(JanSun1)=1,IF(AND(YEAR(JanSun1+28)=연간_달력,MONTH(JanSun1+28)=1),JanSun1+28,""),IF(AND(YEAR(JanSun1+35)=연간_달력,MONTH(JanSun1+35)=1),JanSun1+35,""))</f>
        <v>42035</v>
      </c>
      <c r="I13" s="13"/>
    </row>
    <row r="14" spans="1:18" ht="64.5" customHeight="1">
      <c r="A14" s="6"/>
      <c r="B14" s="15"/>
      <c r="C14" s="15"/>
      <c r="D14" s="15"/>
      <c r="E14" s="15"/>
      <c r="F14" s="15"/>
      <c r="G14" s="16"/>
      <c r="H14" s="16"/>
      <c r="I14" s="13"/>
    </row>
    <row r="15" spans="1:18" ht="15" customHeight="1">
      <c r="A15" s="6"/>
      <c r="B15" s="21" t="str">
        <f>IF(DAY(JanSun1)=1,IF(AND(YEAR(JanSun1+29)=연간_달력,MONTH(JanSun1+29)=1),JanSun1+29,""),IF(AND(YEAR(JanSun1+36)=연간_달력,MONTH(JanSun1+36)=1),JanSun1+36,""))</f>
        <v/>
      </c>
      <c r="C15" s="22" t="str">
        <f>IF(DAY(JanSun1)=1,IF(AND(YEAR(JanSun1+30)=연간_달력,MONTH(JanSun1+30)=1),JanSun1+30,""),IF(AND(YEAR(JanSun1+37)=연간_달력,MONTH(JanSun1+37)=1),JanSun1+37,""))</f>
        <v/>
      </c>
      <c r="D15" s="31" t="s">
        <v>8</v>
      </c>
      <c r="E15" s="32"/>
      <c r="F15" s="32"/>
      <c r="G15" s="32"/>
      <c r="H15" s="33"/>
      <c r="I15" s="13"/>
    </row>
    <row r="16" spans="1:18" ht="64.5" customHeight="1">
      <c r="A16" s="6"/>
      <c r="B16" s="18"/>
      <c r="C16" s="18"/>
      <c r="D16" s="28"/>
      <c r="E16" s="29"/>
      <c r="F16" s="29"/>
      <c r="G16" s="29"/>
      <c r="H16" s="30"/>
      <c r="I16" s="13"/>
    </row>
    <row r="17" spans="3:5" ht="17.25" customHeight="1"/>
    <row r="19" spans="3:5" ht="21" customHeight="1">
      <c r="C19" s="23"/>
      <c r="D19" s="24"/>
      <c r="E19" s="25"/>
    </row>
    <row r="20" spans="3:5" ht="19.5" customHeight="1"/>
  </sheetData>
  <mergeCells count="3">
    <mergeCell ref="D16:H16"/>
    <mergeCell ref="D15:H15"/>
    <mergeCell ref="B3:F3"/>
  </mergeCells>
  <phoneticPr fontId="6" type="noConversion"/>
  <printOptions horizontalCentered="1" verticalCentered="1"/>
  <pageMargins left="0.2" right="0.2" top="0.25" bottom="0.25" header="0" footer="0"/>
  <pageSetup scale="93" orientation="landscape" r:id="rId1"/>
  <headerFooter scaleWithDoc="0" alignWithMargins="0"/>
  <customProperties>
    <customPr name="SheetChange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회전자 2">
              <controlPr defaultSize="0" autoPict="0" altText="회전자 컨트롤입니다. 회전자를 사용하여 달력 연도를 변경하거나 L2 셀에 원하는 연도를 입력하세요.">
                <anchor moveWithCells="1">
                  <from>
                    <xdr:col>10</xdr:col>
                    <xdr:colOff>1047750</xdr:colOff>
                    <xdr:row>1</xdr:row>
                    <xdr:rowOff>85725</xdr:rowOff>
                  </from>
                  <to>
                    <xdr:col>11</xdr:col>
                    <xdr:colOff>114300</xdr:colOff>
                    <xdr:row>1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 tint="-0.34998626667073579"/>
    <pageSetUpPr fitToPage="1"/>
  </sheetPr>
  <dimension ref="A1:R20"/>
  <sheetViews>
    <sheetView showGridLines="0" topLeftCell="A7" zoomScaleNormal="100" workbookViewId="0">
      <selection activeCell="M10" sqref="A1:XFD1048576"/>
    </sheetView>
  </sheetViews>
  <sheetFormatPr defaultColWidth="6.6640625" defaultRowHeight="16.5"/>
  <cols>
    <col min="1" max="1" width="3.109375" style="1" customWidth="1"/>
    <col min="2" max="9" width="13.77734375" style="1" customWidth="1"/>
    <col min="10" max="10" width="12.6640625" style="1" customWidth="1"/>
    <col min="11" max="11" width="2.109375" style="1" customWidth="1"/>
    <col min="12" max="12" width="11.77734375" style="1" customWidth="1"/>
    <col min="13" max="13" width="11.33203125" style="1" customWidth="1"/>
    <col min="14" max="16384" width="6.6640625" style="1"/>
  </cols>
  <sheetData>
    <row r="1" spans="1:18" ht="14.25" customHeight="1">
      <c r="A1" s="6"/>
    </row>
    <row r="2" spans="1:18" ht="30" customHeight="1">
      <c r="A2" s="6"/>
      <c r="B2" s="4"/>
      <c r="C2" s="4"/>
      <c r="D2" s="4"/>
      <c r="E2" s="4"/>
      <c r="F2" s="4"/>
      <c r="G2" s="4"/>
      <c r="H2" s="4"/>
      <c r="I2" s="4"/>
      <c r="J2" s="4"/>
    </row>
    <row r="3" spans="1:18" ht="62.25" customHeight="1">
      <c r="A3" s="6"/>
      <c r="B3" s="34" t="str">
        <f>UPPER(TEXT(DATE(연간_달력,2,1),"yyyy년 mm월"))</f>
        <v>2015년 02월</v>
      </c>
      <c r="C3" s="34"/>
      <c r="D3" s="34"/>
      <c r="E3" s="34"/>
      <c r="F3" s="34"/>
    </row>
    <row r="4" spans="1:18" s="6" customFormat="1" ht="26.25" customHeight="1">
      <c r="B4" s="26" t="s">
        <v>7</v>
      </c>
      <c r="C4" s="9" t="s">
        <v>1</v>
      </c>
      <c r="D4" s="9" t="s">
        <v>2</v>
      </c>
      <c r="E4" s="9" t="s">
        <v>3</v>
      </c>
      <c r="F4" s="9" t="s">
        <v>4</v>
      </c>
      <c r="G4" s="9" t="s">
        <v>5</v>
      </c>
      <c r="H4" s="10" t="s">
        <v>6</v>
      </c>
      <c r="I4" s="1"/>
      <c r="J4" s="1"/>
      <c r="L4" s="1"/>
      <c r="M4" s="11"/>
      <c r="Q4" s="1"/>
      <c r="R4" s="1"/>
    </row>
    <row r="5" spans="1:18" s="6" customFormat="1" ht="15" customHeight="1">
      <c r="B5" s="12">
        <f>IF(DAY(FebSun1)=1,"",IF(AND(YEAR(FebSun1+1)=연간_달력,MONTH(FebSun1+1)=2),FebSun1+1,""))</f>
        <v>42036</v>
      </c>
      <c r="C5" s="12">
        <f>IF(DAY(FebSun1)=1,"",IF(AND(YEAR(FebSun1+2)=연간_달력,MONTH(FebSun1+2)=2),FebSun1+2,""))</f>
        <v>42037</v>
      </c>
      <c r="D5" s="12">
        <f>IF(DAY(FebSun1)=1,"",IF(AND(YEAR(FebSun1+3)=연간_달력,MONTH(FebSun1+3)=2),FebSun1+3,""))</f>
        <v>42038</v>
      </c>
      <c r="E5" s="12">
        <f>IF(DAY(FebSun1)=1,"",IF(AND(YEAR(FebSun1+4)=연간_달력,MONTH(FebSun1+4)=2),FebSun1+4,""))</f>
        <v>42039</v>
      </c>
      <c r="F5" s="12">
        <f>IF(DAY(FebSun1)=1,"",IF(AND(YEAR(FebSun1+5)=연간_달력,MONTH(FebSun1+5)=2),FebSun1+5,""))</f>
        <v>42040</v>
      </c>
      <c r="G5" s="12">
        <f>IF(DAY(FebSun1)=1,"",IF(AND(YEAR(FebSun1+6)=연간_달력,MONTH(FebSun1+6)=2),FebSun1+6,""))</f>
        <v>42041</v>
      </c>
      <c r="H5" s="12">
        <f>IF(DAY(FebSun1)=1,IF(AND(YEAR(FebSun1)=연간_달력,MONTH(FebSun1)=2),FebSun1,""),IF(AND(YEAR(FebSun1+7)=연간_달력,MONTH(FebSun1+7)=2),FebSun1+7,""))</f>
        <v>42042</v>
      </c>
      <c r="I5" s="13"/>
      <c r="K5" s="1"/>
      <c r="L5" s="1"/>
      <c r="M5" s="1"/>
      <c r="Q5" s="14"/>
      <c r="R5" s="1"/>
    </row>
    <row r="6" spans="1:18" s="14" customFormat="1" ht="64.5" customHeight="1">
      <c r="A6" s="6"/>
      <c r="B6" s="15"/>
      <c r="C6" s="15"/>
      <c r="D6" s="15"/>
      <c r="E6" s="15"/>
      <c r="F6" s="15"/>
      <c r="G6" s="16"/>
      <c r="H6" s="16"/>
      <c r="I6" s="13"/>
    </row>
    <row r="7" spans="1:18" ht="15" customHeight="1">
      <c r="A7" s="6"/>
      <c r="B7" s="17">
        <f>IF(DAY(FebSun1)=1,IF(AND(YEAR(FebSun1+1)=연간_달력,MONTH(FebSun1+1)=2),FebSun1+1,""),IF(AND(YEAR(FebSun1+8)=연간_달력,MONTH(FebSun1+8)=2),FebSun1+8,""))</f>
        <v>42043</v>
      </c>
      <c r="C7" s="17">
        <f>IF(DAY(FebSun1)=1,IF(AND(YEAR(FebSun1+2)=연간_달력,MONTH(FebSun1+2)=2),FebSun1+2,""),IF(AND(YEAR(FebSun1+9)=연간_달력,MONTH(FebSun1+9)=2),FebSun1+9,""))</f>
        <v>42044</v>
      </c>
      <c r="D7" s="17">
        <f>IF(DAY(FebSun1)=1,IF(AND(YEAR(FebSun1+3)=연간_달력,MONTH(FebSun1+3)=2),FebSun1+3,""),IF(AND(YEAR(FebSun1+10)=연간_달력,MONTH(FebSun1+10)=2),FebSun1+10,""))</f>
        <v>42045</v>
      </c>
      <c r="E7" s="17">
        <f>IF(DAY(FebSun1)=1,IF(AND(YEAR(FebSun1+4)=연간_달력,MONTH(FebSun1+4)=2),FebSun1+4,""),IF(AND(YEAR(FebSun1+11)=연간_달력,MONTH(FebSun1+11)=2),FebSun1+11,""))</f>
        <v>42046</v>
      </c>
      <c r="F7" s="17">
        <f>IF(DAY(FebSun1)=1,IF(AND(YEAR(FebSun1+5)=연간_달력,MONTH(FebSun1+5)=2),FebSun1+5,""),IF(AND(YEAR(FebSun1+12)=연간_달력,MONTH(FebSun1+12)=2),FebSun1+12,""))</f>
        <v>42047</v>
      </c>
      <c r="G7" s="17">
        <f>IF(DAY(FebSun1)=1,IF(AND(YEAR(FebSun1+6)=연간_달력,MONTH(FebSun1+6)=2),FebSun1+6,""),IF(AND(YEAR(FebSun1+13)=연간_달력,MONTH(FebSun1+13)=2),FebSun1+13,""))</f>
        <v>42048</v>
      </c>
      <c r="H7" s="17">
        <f>IF(DAY(FebSun1)=1,IF(AND(YEAR(FebSun1+7)=연간_달력,MONTH(FebSun1+7)=2),FebSun1+7,""),IF(AND(YEAR(FebSun1+14)=연간_달력,MONTH(FebSun1+14)=2),FebSun1+14,""))</f>
        <v>42049</v>
      </c>
      <c r="I7" s="13"/>
    </row>
    <row r="8" spans="1:18" ht="64.5" customHeight="1">
      <c r="A8" s="6"/>
      <c r="B8" s="18"/>
      <c r="C8" s="18"/>
      <c r="D8" s="18"/>
      <c r="E8" s="18"/>
      <c r="F8" s="18"/>
      <c r="G8" s="19"/>
      <c r="H8" s="19"/>
      <c r="I8" s="13"/>
    </row>
    <row r="9" spans="1:18" ht="15" customHeight="1">
      <c r="A9" s="6"/>
      <c r="B9" s="20">
        <f>IF(DAY(FebSun1)=1,IF(AND(YEAR(FebSun1+8)=연간_달력,MONTH(FebSun1+8)=2),FebSun1+8,""),IF(AND(YEAR(FebSun1+15)=연간_달력,MONTH(FebSun1+15)=2),FebSun1+15,""))</f>
        <v>42050</v>
      </c>
      <c r="C9" s="20">
        <f>IF(DAY(FebSun1)=1,IF(AND(YEAR(FebSun1+9)=연간_달력,MONTH(FebSun1+9)=2),FebSun1+9,""),IF(AND(YEAR(FebSun1+16)=연간_달력,MONTH(FebSun1+16)=2),FebSun1+16,""))</f>
        <v>42051</v>
      </c>
      <c r="D9" s="20">
        <f>IF(DAY(FebSun1)=1,IF(AND(YEAR(FebSun1+10)=연간_달력,MONTH(FebSun1+10)=2),FebSun1+10,""),IF(AND(YEAR(FebSun1+17)=연간_달력,MONTH(FebSun1+17)=2),FebSun1+17,""))</f>
        <v>42052</v>
      </c>
      <c r="E9" s="20">
        <f>IF(DAY(FebSun1)=1,IF(AND(YEAR(FebSun1+11)=연간_달력,MONTH(FebSun1+11)=2),FebSun1+11,""),IF(AND(YEAR(FebSun1+18)=연간_달력,MONTH(FebSun1+18)=2),FebSun1+18,""))</f>
        <v>42053</v>
      </c>
      <c r="F9" s="20">
        <f>IF(DAY(FebSun1)=1,IF(AND(YEAR(FebSun1+12)=연간_달력,MONTH(FebSun1+12)=2),FebSun1+12,""),IF(AND(YEAR(FebSun1+19)=연간_달력,MONTH(FebSun1+19)=2),FebSun1+19,""))</f>
        <v>42054</v>
      </c>
      <c r="G9" s="20">
        <f>IF(DAY(FebSun1)=1,IF(AND(YEAR(FebSun1+13)=연간_달력,MONTH(FebSun1+13)=2),FebSun1+13,""),IF(AND(YEAR(FebSun1+20)=연간_달력,MONTH(FebSun1+20)=2),FebSun1+20,""))</f>
        <v>42055</v>
      </c>
      <c r="H9" s="20">
        <f>IF(DAY(FebSun1)=1,IF(AND(YEAR(FebSun1+14)=연간_달력,MONTH(FebSun1+14)=2),FebSun1+14,""),IF(AND(YEAR(FebSun1+21)=연간_달력,MONTH(FebSun1+21)=2),FebSun1+21,""))</f>
        <v>42056</v>
      </c>
      <c r="I9" s="13"/>
    </row>
    <row r="10" spans="1:18" ht="64.5" customHeight="1">
      <c r="A10" s="6"/>
      <c r="B10" s="15"/>
      <c r="C10" s="15"/>
      <c r="D10" s="15"/>
      <c r="E10" s="15"/>
      <c r="F10" s="15"/>
      <c r="G10" s="16"/>
      <c r="H10" s="16"/>
      <c r="I10" s="13"/>
    </row>
    <row r="11" spans="1:18" ht="15" customHeight="1">
      <c r="A11" s="6"/>
      <c r="B11" s="21">
        <f>IF(DAY(FebSun1)=1,IF(AND(YEAR(FebSun1+15)=연간_달력,MONTH(FebSun1+15)=2),FebSun1+15,""),IF(AND(YEAR(FebSun1+22)=연간_달력,MONTH(FebSun1+22)=2),FebSun1+22,""))</f>
        <v>42057</v>
      </c>
      <c r="C11" s="21">
        <f>IF(DAY(FebSun1)=1,IF(AND(YEAR(FebSun1+16)=연간_달력,MONTH(FebSun1+16)=2),FebSun1+16,""),IF(AND(YEAR(FebSun1+23)=연간_달력,MONTH(FebSun1+23)=2),FebSun1+23,""))</f>
        <v>42058</v>
      </c>
      <c r="D11" s="21">
        <f>IF(DAY(FebSun1)=1,IF(AND(YEAR(FebSun1+17)=연간_달력,MONTH(FebSun1+17)=2),FebSun1+17,""),IF(AND(YEAR(FebSun1+24)=연간_달력,MONTH(FebSun1+24)=2),FebSun1+24,""))</f>
        <v>42059</v>
      </c>
      <c r="E11" s="21">
        <f>IF(DAY(FebSun1)=1,IF(AND(YEAR(FebSun1+18)=연간_달력,MONTH(FebSun1+18)=2),FebSun1+18,""),IF(AND(YEAR(FebSun1+25)=연간_달력,MONTH(FebSun1+25)=2),FebSun1+25,""))</f>
        <v>42060</v>
      </c>
      <c r="F11" s="21">
        <f>IF(DAY(FebSun1)=1,IF(AND(YEAR(FebSun1+19)=연간_달력,MONTH(FebSun1+19)=2),FebSun1+19,""),IF(AND(YEAR(FebSun1+26)=연간_달력,MONTH(FebSun1+26)=2),FebSun1+26,""))</f>
        <v>42061</v>
      </c>
      <c r="G11" s="21">
        <f>IF(DAY(FebSun1)=1,IF(AND(YEAR(FebSun1+20)=연간_달력,MONTH(FebSun1+20)=2),FebSun1+20,""),IF(AND(YEAR(FebSun1+27)=연간_달력,MONTH(FebSun1+27)=2),FebSun1+27,""))</f>
        <v>42062</v>
      </c>
      <c r="H11" s="21">
        <f>IF(DAY(FebSun1)=1,IF(AND(YEAR(FebSun1+21)=연간_달력,MONTH(FebSun1+21)=2),FebSun1+21,""),IF(AND(YEAR(FebSun1+28)=연간_달력,MONTH(FebSun1+28)=2),FebSun1+28,""))</f>
        <v>42063</v>
      </c>
      <c r="I11" s="13"/>
    </row>
    <row r="12" spans="1:18" ht="64.5" customHeight="1">
      <c r="A12" s="6"/>
      <c r="B12" s="18"/>
      <c r="C12" s="18"/>
      <c r="D12" s="18"/>
      <c r="E12" s="18"/>
      <c r="F12" s="18"/>
      <c r="G12" s="19"/>
      <c r="H12" s="19"/>
      <c r="I12" s="13"/>
    </row>
    <row r="13" spans="1:18" ht="15" customHeight="1">
      <c r="A13" s="6"/>
      <c r="B13" s="20" t="str">
        <f>IF(DAY(FebSun1)=1,IF(AND(YEAR(FebSun1+22)=연간_달력,MONTH(FebSun1+22)=2),FebSun1+22,""),IF(AND(YEAR(FebSun1+29)=연간_달력,MONTH(FebSun1+29)=2),FebSun1+29,""))</f>
        <v/>
      </c>
      <c r="C13" s="20" t="str">
        <f>IF(DAY(FebSun1)=1,IF(AND(YEAR(FebSun1+23)=연간_달력,MONTH(FebSun1+23)=2),FebSun1+23,""),IF(AND(YEAR(FebSun1+30)=연간_달력,MONTH(FebSun1+30)=2),FebSun1+30,""))</f>
        <v/>
      </c>
      <c r="D13" s="20" t="str">
        <f>IF(DAY(FebSun1)=1,IF(AND(YEAR(FebSun1+24)=연간_달력,MONTH(FebSun1+24)=2),FebSun1+24,""),IF(AND(YEAR(FebSun1+31)=연간_달력,MONTH(FebSun1+31)=2),FebSun1+31,""))</f>
        <v/>
      </c>
      <c r="E13" s="20" t="str">
        <f>IF(DAY(FebSun1)=1,IF(AND(YEAR(FebSun1+25)=연간_달력,MONTH(FebSun1+25)=2),FebSun1+25,""),IF(AND(YEAR(FebSun1+32)=연간_달력,MONTH(FebSun1+32)=2),FebSun1+32,""))</f>
        <v/>
      </c>
      <c r="F13" s="20" t="str">
        <f>IF(DAY(FebSun1)=1,IF(AND(YEAR(FebSun1+26)=연간_달력,MONTH(FebSun1+26)=2),FebSun1+26,""),IF(AND(YEAR(FebSun1+33)=연간_달력,MONTH(FebSun1+33)=2),FebSun1+33,""))</f>
        <v/>
      </c>
      <c r="G13" s="20" t="str">
        <f>IF(DAY(FebSun1)=1,IF(AND(YEAR(FebSun1+27)=연간_달력,MONTH(FebSun1+27)=2),FebSun1+27,""),IF(AND(YEAR(FebSun1+34)=연간_달력,MONTH(FebSun1+34)=2),FebSun1+34,""))</f>
        <v/>
      </c>
      <c r="H13" s="20" t="str">
        <f>IF(DAY(FebSun1)=1,IF(AND(YEAR(FebSun1+28)=연간_달력,MONTH(FebSun1+28)=2),FebSun1+28,""),IF(AND(YEAR(FebSun1+35)=연간_달력,MONTH(FebSun1+35)=2),FebSun1+35,""))</f>
        <v/>
      </c>
      <c r="I13" s="13"/>
    </row>
    <row r="14" spans="1:18" ht="64.5" customHeight="1">
      <c r="A14" s="6"/>
      <c r="B14" s="15"/>
      <c r="C14" s="15"/>
      <c r="D14" s="15"/>
      <c r="E14" s="15"/>
      <c r="F14" s="15"/>
      <c r="G14" s="16"/>
      <c r="H14" s="16"/>
      <c r="I14" s="13"/>
    </row>
    <row r="15" spans="1:18" ht="15" customHeight="1">
      <c r="A15" s="6"/>
      <c r="B15" s="21" t="str">
        <f>IF(DAY(FebSun1)=1,IF(AND(YEAR(FebSun1+29)=연간_달력,MONTH(FebSun1+29)=2),FebSun1+29,""),IF(AND(YEAR(FebSun1+36)=연간_달력,MONTH(FebSun1+36)=2),FebSun1+36,""))</f>
        <v/>
      </c>
      <c r="C15" s="22" t="str">
        <f>IF(DAY(FebSun1)=1,IF(AND(YEAR(FebSun1+30)=연간_달력,MONTH(FebSun1+30)=2),FebSun1+30,""),IF(AND(YEAR(FebSun1+37)=연간_달력,MONTH(FebSun1+37)=2),FebSun1+37,""))</f>
        <v/>
      </c>
      <c r="D15" s="31" t="s">
        <v>8</v>
      </c>
      <c r="E15" s="32"/>
      <c r="F15" s="32"/>
      <c r="G15" s="32"/>
      <c r="H15" s="33"/>
      <c r="I15" s="13"/>
    </row>
    <row r="16" spans="1:18" ht="64.5" customHeight="1">
      <c r="A16" s="6"/>
      <c r="B16" s="18"/>
      <c r="C16" s="18"/>
      <c r="D16" s="28"/>
      <c r="E16" s="29"/>
      <c r="F16" s="29"/>
      <c r="G16" s="29"/>
      <c r="H16" s="30"/>
      <c r="I16" s="13"/>
    </row>
    <row r="17" spans="3:5" ht="17.25" customHeight="1"/>
    <row r="19" spans="3:5" ht="21" customHeight="1">
      <c r="C19" s="23"/>
      <c r="D19" s="24"/>
      <c r="E19" s="25"/>
    </row>
    <row r="20" spans="3:5" ht="19.5" customHeight="1"/>
  </sheetData>
  <mergeCells count="3">
    <mergeCell ref="B3:F3"/>
    <mergeCell ref="D15:H15"/>
    <mergeCell ref="D16:H16"/>
  </mergeCells>
  <phoneticPr fontId="6" type="noConversion"/>
  <printOptions horizontalCentered="1" verticalCentered="1"/>
  <pageMargins left="0.2" right="0.2" top="0.25" bottom="0.25" header="0" footer="0"/>
  <pageSetup scale="93" orientation="landscape" r:id="rId1"/>
  <headerFooter scaleWithDoc="0"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0" tint="-0.249977111117893"/>
    <pageSetUpPr fitToPage="1"/>
  </sheetPr>
  <dimension ref="A1:R20"/>
  <sheetViews>
    <sheetView showGridLines="0" topLeftCell="A7" zoomScaleNormal="100" workbookViewId="0">
      <selection activeCell="N12" sqref="A1:XFD1048576"/>
    </sheetView>
  </sheetViews>
  <sheetFormatPr defaultColWidth="6.6640625" defaultRowHeight="16.5"/>
  <cols>
    <col min="1" max="1" width="3.109375" style="1" customWidth="1"/>
    <col min="2" max="9" width="13.77734375" style="1" customWidth="1"/>
    <col min="10" max="10" width="12.6640625" style="1" customWidth="1"/>
    <col min="11" max="11" width="2.109375" style="1" customWidth="1"/>
    <col min="12" max="12" width="11.77734375" style="1" customWidth="1"/>
    <col min="13" max="13" width="11.33203125" style="1" customWidth="1"/>
    <col min="14" max="16384" width="6.6640625" style="1"/>
  </cols>
  <sheetData>
    <row r="1" spans="1:18" ht="14.25" customHeight="1">
      <c r="A1" s="6"/>
    </row>
    <row r="2" spans="1:18" ht="30" customHeight="1">
      <c r="A2" s="6"/>
      <c r="B2" s="4"/>
      <c r="C2" s="4"/>
      <c r="D2" s="4"/>
      <c r="E2" s="4"/>
      <c r="F2" s="4"/>
      <c r="G2" s="4"/>
      <c r="H2" s="4"/>
      <c r="I2" s="4"/>
      <c r="J2" s="4"/>
    </row>
    <row r="3" spans="1:18" ht="62.25" customHeight="1">
      <c r="A3" s="6"/>
      <c r="B3" s="34" t="str">
        <f>UPPER(TEXT(DATE(연간_달력,3,1),"yyyy년 mm월"))</f>
        <v>2015년 03월</v>
      </c>
      <c r="C3" s="34"/>
      <c r="D3" s="34"/>
      <c r="E3" s="34"/>
      <c r="F3" s="34"/>
    </row>
    <row r="4" spans="1:18" s="6" customFormat="1" ht="26.25" customHeight="1">
      <c r="B4" s="26" t="s">
        <v>7</v>
      </c>
      <c r="C4" s="9" t="s">
        <v>1</v>
      </c>
      <c r="D4" s="9" t="s">
        <v>2</v>
      </c>
      <c r="E4" s="9" t="s">
        <v>3</v>
      </c>
      <c r="F4" s="9" t="s">
        <v>4</v>
      </c>
      <c r="G4" s="9" t="s">
        <v>5</v>
      </c>
      <c r="H4" s="10" t="s">
        <v>6</v>
      </c>
      <c r="I4" s="1"/>
      <c r="J4" s="1"/>
      <c r="L4" s="1"/>
      <c r="M4" s="11"/>
      <c r="Q4" s="1"/>
      <c r="R4" s="1"/>
    </row>
    <row r="5" spans="1:18" s="6" customFormat="1" ht="15" customHeight="1">
      <c r="B5" s="12">
        <f>IF(DAY(MarSun1)=1,"",IF(AND(YEAR(MarSun1+1)=연간_달력,MONTH(MarSun1+1)=3),MarSun1+1,""))</f>
        <v>42064</v>
      </c>
      <c r="C5" s="12">
        <f>IF(DAY(MarSun1)=1,"",IF(AND(YEAR(MarSun1+2)=연간_달력,MONTH(MarSun1+2)=3),MarSun1+2,""))</f>
        <v>42065</v>
      </c>
      <c r="D5" s="12">
        <f>IF(DAY(MarSun1)=1,"",IF(AND(YEAR(MarSun1+3)=연간_달력,MONTH(MarSun1+3)=3),MarSun1+3,""))</f>
        <v>42066</v>
      </c>
      <c r="E5" s="12">
        <f>IF(DAY(MarSun1)=1,"",IF(AND(YEAR(MarSun1+4)=연간_달력,MONTH(MarSun1+4)=3),MarSun1+4,""))</f>
        <v>42067</v>
      </c>
      <c r="F5" s="12">
        <f>IF(DAY(MarSun1)=1,"",IF(AND(YEAR(MarSun1+5)=연간_달력,MONTH(MarSun1+5)=3),MarSun1+5,""))</f>
        <v>42068</v>
      </c>
      <c r="G5" s="12">
        <f>IF(DAY(MarSun1)=1,"",IF(AND(YEAR(MarSun1+6)=연간_달력,MONTH(MarSun1+6)=3),MarSun1+6,""))</f>
        <v>42069</v>
      </c>
      <c r="H5" s="12">
        <f>IF(DAY(MarSun1)=1,IF(AND(YEAR(MarSun1)=연간_달력,MONTH(MarSun1)=3),MarSun1,""),IF(AND(YEAR(MarSun1+7)=연간_달력,MONTH(MarSun1+7)=3),MarSun1+7,""))</f>
        <v>42070</v>
      </c>
      <c r="I5" s="13"/>
      <c r="K5" s="1"/>
      <c r="L5" s="1"/>
      <c r="M5" s="1"/>
      <c r="Q5" s="14"/>
      <c r="R5" s="1"/>
    </row>
    <row r="6" spans="1:18" s="14" customFormat="1" ht="64.5" customHeight="1">
      <c r="A6" s="6"/>
      <c r="B6" s="15"/>
      <c r="C6" s="15"/>
      <c r="D6" s="15"/>
      <c r="E6" s="15"/>
      <c r="F6" s="15"/>
      <c r="G6" s="16"/>
      <c r="H6" s="16"/>
      <c r="I6" s="13"/>
    </row>
    <row r="7" spans="1:18" ht="15" customHeight="1">
      <c r="A7" s="6"/>
      <c r="B7" s="17">
        <f>IF(DAY(MarSun1)=1,IF(AND(YEAR(MarSun1+1)=연간_달력,MONTH(MarSun1+1)=3),MarSun1+1,""),IF(AND(YEAR(MarSun1+8)=연간_달력,MONTH(MarSun1+8)=3),MarSun1+8,""))</f>
        <v>42071</v>
      </c>
      <c r="C7" s="17">
        <f>IF(DAY(MarSun1)=1,IF(AND(YEAR(MarSun1+2)=연간_달력,MONTH(MarSun1+2)=3),MarSun1+2,""),IF(AND(YEAR(MarSun1+9)=연간_달력,MONTH(MarSun1+9)=3),MarSun1+9,""))</f>
        <v>42072</v>
      </c>
      <c r="D7" s="17">
        <f>IF(DAY(MarSun1)=1,IF(AND(YEAR(MarSun1+3)=연간_달력,MONTH(MarSun1+3)=3),MarSun1+3,""),IF(AND(YEAR(MarSun1+10)=연간_달력,MONTH(MarSun1+10)=3),MarSun1+10,""))</f>
        <v>42073</v>
      </c>
      <c r="E7" s="17">
        <f>IF(DAY(MarSun1)=1,IF(AND(YEAR(MarSun1+4)=연간_달력,MONTH(MarSun1+4)=3),MarSun1+4,""),IF(AND(YEAR(MarSun1+11)=연간_달력,MONTH(MarSun1+11)=3),MarSun1+11,""))</f>
        <v>42074</v>
      </c>
      <c r="F7" s="17">
        <f>IF(DAY(MarSun1)=1,IF(AND(YEAR(MarSun1+5)=연간_달력,MONTH(MarSun1+5)=3),MarSun1+5,""),IF(AND(YEAR(MarSun1+12)=연간_달력,MONTH(MarSun1+12)=3),MarSun1+12,""))</f>
        <v>42075</v>
      </c>
      <c r="G7" s="17">
        <f>IF(DAY(MarSun1)=1,IF(AND(YEAR(MarSun1+6)=연간_달력,MONTH(MarSun1+6)=3),MarSun1+6,""),IF(AND(YEAR(MarSun1+13)=연간_달력,MONTH(MarSun1+13)=3),MarSun1+13,""))</f>
        <v>42076</v>
      </c>
      <c r="H7" s="17">
        <f>IF(DAY(MarSun1)=1,IF(AND(YEAR(MarSun1+7)=연간_달력,MONTH(MarSun1+7)=3),MarSun1+7,""),IF(AND(YEAR(MarSun1+14)=연간_달력,MONTH(MarSun1+14)=3),MarSun1+14,""))</f>
        <v>42077</v>
      </c>
      <c r="I7" s="13"/>
    </row>
    <row r="8" spans="1:18" ht="64.5" customHeight="1">
      <c r="A8" s="6"/>
      <c r="B8" s="18"/>
      <c r="C8" s="18"/>
      <c r="D8" s="18"/>
      <c r="E8" s="18"/>
      <c r="F8" s="18"/>
      <c r="G8" s="19"/>
      <c r="H8" s="19"/>
      <c r="I8" s="13"/>
    </row>
    <row r="9" spans="1:18" ht="15" customHeight="1">
      <c r="A9" s="6"/>
      <c r="B9" s="20">
        <f>IF(DAY(MarSun1)=1,IF(AND(YEAR(MarSun1+8)=연간_달력,MONTH(MarSun1+8)=3),MarSun1+8,""),IF(AND(YEAR(MarSun1+15)=연간_달력,MONTH(MarSun1+15)=3),MarSun1+15,""))</f>
        <v>42078</v>
      </c>
      <c r="C9" s="20">
        <f>IF(DAY(MarSun1)=1,IF(AND(YEAR(MarSun1+9)=연간_달력,MONTH(MarSun1+9)=3),MarSun1+9,""),IF(AND(YEAR(MarSun1+16)=연간_달력,MONTH(MarSun1+16)=3),MarSun1+16,""))</f>
        <v>42079</v>
      </c>
      <c r="D9" s="20">
        <f>IF(DAY(MarSun1)=1,IF(AND(YEAR(MarSun1+10)=연간_달력,MONTH(MarSun1+10)=3),MarSun1+10,""),IF(AND(YEAR(MarSun1+17)=연간_달력,MONTH(MarSun1+17)=3),MarSun1+17,""))</f>
        <v>42080</v>
      </c>
      <c r="E9" s="20">
        <f>IF(DAY(MarSun1)=1,IF(AND(YEAR(MarSun1+11)=연간_달력,MONTH(MarSun1+11)=3),MarSun1+11,""),IF(AND(YEAR(MarSun1+18)=연간_달력,MONTH(MarSun1+18)=3),MarSun1+18,""))</f>
        <v>42081</v>
      </c>
      <c r="F9" s="20">
        <f>IF(DAY(MarSun1)=1,IF(AND(YEAR(MarSun1+12)=연간_달력,MONTH(MarSun1+12)=3),MarSun1+12,""),IF(AND(YEAR(MarSun1+19)=연간_달력,MONTH(MarSun1+19)=3),MarSun1+19,""))</f>
        <v>42082</v>
      </c>
      <c r="G9" s="20">
        <f>IF(DAY(MarSun1)=1,IF(AND(YEAR(MarSun1+13)=연간_달력,MONTH(MarSun1+13)=3),MarSun1+13,""),IF(AND(YEAR(MarSun1+20)=연간_달력,MONTH(MarSun1+20)=3),MarSun1+20,""))</f>
        <v>42083</v>
      </c>
      <c r="H9" s="20">
        <f>IF(DAY(MarSun1)=1,IF(AND(YEAR(MarSun1+14)=연간_달력,MONTH(MarSun1+14)=3),MarSun1+14,""),IF(AND(YEAR(MarSun1+21)=연간_달력,MONTH(MarSun1+21)=3),MarSun1+21,""))</f>
        <v>42084</v>
      </c>
      <c r="I9" s="13"/>
    </row>
    <row r="10" spans="1:18" ht="64.5" customHeight="1">
      <c r="A10" s="6"/>
      <c r="B10" s="15"/>
      <c r="C10" s="15"/>
      <c r="D10" s="15"/>
      <c r="E10" s="15"/>
      <c r="F10" s="15"/>
      <c r="G10" s="16"/>
      <c r="H10" s="16"/>
      <c r="I10" s="13"/>
    </row>
    <row r="11" spans="1:18" ht="15" customHeight="1">
      <c r="A11" s="6"/>
      <c r="B11" s="21">
        <f>IF(DAY(MarSun1)=1,IF(AND(YEAR(MarSun1+15)=연간_달력,MONTH(MarSun1+15)=3),MarSun1+15,""),IF(AND(YEAR(MarSun1+22)=연간_달력,MONTH(MarSun1+22)=3),MarSun1+22,""))</f>
        <v>42085</v>
      </c>
      <c r="C11" s="21">
        <f>IF(DAY(MarSun1)=1,IF(AND(YEAR(MarSun1+16)=연간_달력,MONTH(MarSun1+16)=3),MarSun1+16,""),IF(AND(YEAR(MarSun1+23)=연간_달력,MONTH(MarSun1+23)=3),MarSun1+23,""))</f>
        <v>42086</v>
      </c>
      <c r="D11" s="21">
        <f>IF(DAY(MarSun1)=1,IF(AND(YEAR(MarSun1+17)=연간_달력,MONTH(MarSun1+17)=3),MarSun1+17,""),IF(AND(YEAR(MarSun1+24)=연간_달력,MONTH(MarSun1+24)=3),MarSun1+24,""))</f>
        <v>42087</v>
      </c>
      <c r="E11" s="21">
        <f>IF(DAY(MarSun1)=1,IF(AND(YEAR(MarSun1+18)=연간_달력,MONTH(MarSun1+18)=3),MarSun1+18,""),IF(AND(YEAR(MarSun1+25)=연간_달력,MONTH(MarSun1+25)=3),MarSun1+25,""))</f>
        <v>42088</v>
      </c>
      <c r="F11" s="21">
        <f>IF(DAY(MarSun1)=1,IF(AND(YEAR(MarSun1+19)=연간_달력,MONTH(MarSun1+19)=3),MarSun1+19,""),IF(AND(YEAR(MarSun1+26)=연간_달력,MONTH(MarSun1+26)=3),MarSun1+26,""))</f>
        <v>42089</v>
      </c>
      <c r="G11" s="21">
        <f>IF(DAY(MarSun1)=1,IF(AND(YEAR(MarSun1+20)=연간_달력,MONTH(MarSun1+20)=3),MarSun1+20,""),IF(AND(YEAR(MarSun1+27)=연간_달력,MONTH(MarSun1+27)=3),MarSun1+27,""))</f>
        <v>42090</v>
      </c>
      <c r="H11" s="21">
        <f>IF(DAY(MarSun1)=1,IF(AND(YEAR(MarSun1+21)=연간_달력,MONTH(MarSun1+21)=3),MarSun1+21,""),IF(AND(YEAR(MarSun1+28)=연간_달력,MONTH(MarSun1+28)=3),MarSun1+28,""))</f>
        <v>42091</v>
      </c>
      <c r="I11" s="13"/>
    </row>
    <row r="12" spans="1:18" ht="64.5" customHeight="1">
      <c r="A12" s="6"/>
      <c r="B12" s="18"/>
      <c r="C12" s="18"/>
      <c r="D12" s="18"/>
      <c r="E12" s="18"/>
      <c r="F12" s="18"/>
      <c r="G12" s="19"/>
      <c r="H12" s="19"/>
      <c r="I12" s="13"/>
    </row>
    <row r="13" spans="1:18" ht="15" customHeight="1">
      <c r="A13" s="6"/>
      <c r="B13" s="20">
        <f>IF(DAY(MarSun1)=1,IF(AND(YEAR(MarSun1+22)=연간_달력,MONTH(MarSun1+22)=3),MarSun1+22,""),IF(AND(YEAR(MarSun1+29)=연간_달력,MONTH(MarSun1+29)=3),MarSun1+29,""))</f>
        <v>42092</v>
      </c>
      <c r="C13" s="20">
        <f>IF(DAY(MarSun1)=1,IF(AND(YEAR(MarSun1+23)=연간_달력,MONTH(MarSun1+23)=3),MarSun1+23,""),IF(AND(YEAR(MarSun1+30)=연간_달력,MONTH(MarSun1+30)=3),MarSun1+30,""))</f>
        <v>42093</v>
      </c>
      <c r="D13" s="20">
        <f>IF(DAY(MarSun1)=1,IF(AND(YEAR(MarSun1+24)=연간_달력,MONTH(MarSun1+24)=3),MarSun1+24,""),IF(AND(YEAR(MarSun1+31)=연간_달력,MONTH(MarSun1+31)=3),MarSun1+31,""))</f>
        <v>42094</v>
      </c>
      <c r="E13" s="20" t="str">
        <f>IF(DAY(MarSun1)=1,IF(AND(YEAR(MarSun1+25)=연간_달력,MONTH(MarSun1+25)=3),MarSun1+25,""),IF(AND(YEAR(MarSun1+32)=연간_달력,MONTH(MarSun1+32)=3),MarSun1+32,""))</f>
        <v/>
      </c>
      <c r="F13" s="20" t="str">
        <f>IF(DAY(MarSun1)=1,IF(AND(YEAR(MarSun1+26)=연간_달력,MONTH(MarSun1+26)=3),MarSun1+26,""),IF(AND(YEAR(MarSun1+33)=연간_달력,MONTH(MarSun1+33)=3),MarSun1+33,""))</f>
        <v/>
      </c>
      <c r="G13" s="20" t="str">
        <f>IF(DAY(MarSun1)=1,IF(AND(YEAR(MarSun1+27)=연간_달력,MONTH(MarSun1+27)=3),MarSun1+27,""),IF(AND(YEAR(MarSun1+34)=연간_달력,MONTH(MarSun1+34)=3),MarSun1+34,""))</f>
        <v/>
      </c>
      <c r="H13" s="20" t="str">
        <f>IF(DAY(MarSun1)=1,IF(AND(YEAR(MarSun1+28)=연간_달력,MONTH(MarSun1+28)=3),MarSun1+28,""),IF(AND(YEAR(MarSun1+35)=연간_달력,MONTH(MarSun1+35)=3),MarSun1+35,""))</f>
        <v/>
      </c>
      <c r="I13" s="13"/>
    </row>
    <row r="14" spans="1:18" ht="64.5" customHeight="1">
      <c r="A14" s="6"/>
      <c r="B14" s="15"/>
      <c r="C14" s="15"/>
      <c r="D14" s="15"/>
      <c r="E14" s="15"/>
      <c r="F14" s="15"/>
      <c r="G14" s="16"/>
      <c r="H14" s="16"/>
      <c r="I14" s="13"/>
    </row>
    <row r="15" spans="1:18" ht="15" customHeight="1">
      <c r="A15" s="6"/>
      <c r="B15" s="21" t="str">
        <f>IF(DAY(MarSun1)=1,IF(AND(YEAR(MarSun1+29)=연간_달력,MONTH(MarSun1+29)=3),MarSun1+29,""),IF(AND(YEAR(MarSun1+36)=연간_달력,MONTH(MarSun1+36)=3),MarSun1+36,""))</f>
        <v/>
      </c>
      <c r="C15" s="22" t="str">
        <f>IF(DAY(MarSun1)=1,IF(AND(YEAR(MarSun1+30)=연간_달력,MONTH(MarSun1+30)=3),MarSun1+30,""),IF(AND(YEAR(MarSun1+37)=연간_달력,MONTH(MarSun1+37)=3),MarSun1+37,""))</f>
        <v/>
      </c>
      <c r="D15" s="31" t="s">
        <v>8</v>
      </c>
      <c r="E15" s="32"/>
      <c r="F15" s="32"/>
      <c r="G15" s="32"/>
      <c r="H15" s="33"/>
      <c r="I15" s="13"/>
    </row>
    <row r="16" spans="1:18" ht="64.5" customHeight="1">
      <c r="A16" s="6"/>
      <c r="B16" s="18"/>
      <c r="C16" s="18"/>
      <c r="D16" s="28"/>
      <c r="E16" s="29"/>
      <c r="F16" s="29"/>
      <c r="G16" s="29"/>
      <c r="H16" s="30"/>
      <c r="I16" s="13"/>
    </row>
    <row r="17" spans="3:5" ht="17.25" customHeight="1"/>
    <row r="19" spans="3:5" ht="21" customHeight="1">
      <c r="C19" s="23"/>
      <c r="D19" s="24"/>
      <c r="E19" s="25"/>
    </row>
    <row r="20" spans="3:5" ht="19.5" customHeight="1"/>
  </sheetData>
  <mergeCells count="3">
    <mergeCell ref="B3:F3"/>
    <mergeCell ref="D15:H15"/>
    <mergeCell ref="D16:H16"/>
  </mergeCells>
  <phoneticPr fontId="6" type="noConversion"/>
  <printOptions horizontalCentered="1" verticalCentered="1"/>
  <pageMargins left="0.2" right="0.2" top="0.25" bottom="0.25" header="0" footer="0"/>
  <pageSetup scale="93" orientation="landscape" r:id="rId1"/>
  <headerFooter scaleWithDoc="0"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 tint="-0.14999847407452621"/>
    <pageSetUpPr fitToPage="1"/>
  </sheetPr>
  <dimension ref="A1:R20"/>
  <sheetViews>
    <sheetView showGridLines="0" topLeftCell="A7" zoomScaleNormal="100" workbookViewId="0">
      <selection activeCell="M12" sqref="A1:XFD1048576"/>
    </sheetView>
  </sheetViews>
  <sheetFormatPr defaultColWidth="6.6640625" defaultRowHeight="16.5"/>
  <cols>
    <col min="1" max="1" width="3.109375" style="1" customWidth="1"/>
    <col min="2" max="9" width="13.77734375" style="1" customWidth="1"/>
    <col min="10" max="10" width="12.6640625" style="1" customWidth="1"/>
    <col min="11" max="11" width="2.109375" style="1" customWidth="1"/>
    <col min="12" max="12" width="11.77734375" style="1" customWidth="1"/>
    <col min="13" max="13" width="11.33203125" style="1" customWidth="1"/>
    <col min="14" max="16384" width="6.6640625" style="1"/>
  </cols>
  <sheetData>
    <row r="1" spans="1:18" ht="14.25" customHeight="1">
      <c r="A1" s="6"/>
    </row>
    <row r="2" spans="1:18" ht="30" customHeight="1">
      <c r="A2" s="6"/>
      <c r="B2" s="4"/>
      <c r="C2" s="4"/>
      <c r="D2" s="4"/>
      <c r="E2" s="4"/>
      <c r="F2" s="4"/>
      <c r="G2" s="4"/>
      <c r="H2" s="4"/>
      <c r="I2" s="4"/>
      <c r="J2" s="4"/>
    </row>
    <row r="3" spans="1:18" ht="62.25" customHeight="1">
      <c r="A3" s="6"/>
      <c r="B3" s="34" t="str">
        <f>UPPER(TEXT(DATE(연간_달력,4,1),"yyyy년 mm월"))</f>
        <v>2015년 04월</v>
      </c>
      <c r="C3" s="34"/>
      <c r="D3" s="34"/>
      <c r="E3" s="34"/>
      <c r="F3" s="34"/>
    </row>
    <row r="4" spans="1:18" s="6" customFormat="1" ht="26.25" customHeight="1">
      <c r="B4" s="26" t="s">
        <v>7</v>
      </c>
      <c r="C4" s="9" t="s">
        <v>1</v>
      </c>
      <c r="D4" s="9" t="s">
        <v>2</v>
      </c>
      <c r="E4" s="9" t="s">
        <v>3</v>
      </c>
      <c r="F4" s="9" t="s">
        <v>4</v>
      </c>
      <c r="G4" s="9" t="s">
        <v>5</v>
      </c>
      <c r="H4" s="10" t="s">
        <v>6</v>
      </c>
      <c r="I4" s="1"/>
      <c r="J4" s="1"/>
      <c r="L4" s="1"/>
      <c r="M4" s="11"/>
      <c r="Q4" s="1"/>
      <c r="R4" s="1"/>
    </row>
    <row r="5" spans="1:18" s="6" customFormat="1" ht="15" customHeight="1">
      <c r="B5" s="12" t="str">
        <f>IF(DAY(AprSun1)=1,"",IF(AND(YEAR(AprSun1+1)=연간_달력,MONTH(AprSun1+1)=4),AprSun1+1,""))</f>
        <v/>
      </c>
      <c r="C5" s="12" t="str">
        <f>IF(DAY(AprSun1)=1,"",IF(AND(YEAR(AprSun1+2)=연간_달력,MONTH(AprSun1+2)=4),AprSun1+2,""))</f>
        <v/>
      </c>
      <c r="D5" s="12" t="str">
        <f>IF(DAY(AprSun1)=1,"",IF(AND(YEAR(AprSun1+3)=연간_달력,MONTH(AprSun1+3)=4),AprSun1+3,""))</f>
        <v/>
      </c>
      <c r="E5" s="12">
        <f>IF(DAY(AprSun1)=1,"",IF(AND(YEAR(AprSun1+4)=연간_달력,MONTH(AprSun1+4)=4),AprSun1+4,""))</f>
        <v>42095</v>
      </c>
      <c r="F5" s="12">
        <f>IF(DAY(AprSun1)=1,"",IF(AND(YEAR(AprSun1+5)=연간_달력,MONTH(AprSun1+5)=4),AprSun1+5,""))</f>
        <v>42096</v>
      </c>
      <c r="G5" s="12">
        <f>IF(DAY(AprSun1)=1,"",IF(AND(YEAR(AprSun1+6)=연간_달력,MONTH(AprSun1+6)=4),AprSun1+6,""))</f>
        <v>42097</v>
      </c>
      <c r="H5" s="12">
        <f>IF(DAY(AprSun1)=1,IF(AND(YEAR(AprSun1)=연간_달력,MONTH(AprSun1)=4),AprSun1,""),IF(AND(YEAR(AprSun1+7)=연간_달력,MONTH(AprSun1+7)=4),AprSun1+7,""))</f>
        <v>42098</v>
      </c>
      <c r="I5" s="13"/>
      <c r="K5" s="1"/>
      <c r="L5" s="1"/>
      <c r="M5" s="1"/>
      <c r="Q5" s="14"/>
      <c r="R5" s="1"/>
    </row>
    <row r="6" spans="1:18" s="14" customFormat="1" ht="64.5" customHeight="1">
      <c r="A6" s="6"/>
      <c r="B6" s="15"/>
      <c r="C6" s="15"/>
      <c r="D6" s="15"/>
      <c r="E6" s="15"/>
      <c r="F6" s="15"/>
      <c r="G6" s="16"/>
      <c r="H6" s="16"/>
      <c r="I6" s="13"/>
    </row>
    <row r="7" spans="1:18" ht="15" customHeight="1">
      <c r="A7" s="6"/>
      <c r="B7" s="17">
        <f>IF(DAY(AprSun1)=1,IF(AND(YEAR(AprSun1+1)=연간_달력,MONTH(AprSun1+1)=4),AprSun1+1,""),IF(AND(YEAR(AprSun1+8)=연간_달력,MONTH(AprSun1+8)=4),AprSun1+8,""))</f>
        <v>42099</v>
      </c>
      <c r="C7" s="17">
        <f>IF(DAY(AprSun1)=1,IF(AND(YEAR(AprSun1+2)=연간_달력,MONTH(AprSun1+2)=4),AprSun1+2,""),IF(AND(YEAR(AprSun1+9)=연간_달력,MONTH(AprSun1+9)=4),AprSun1+9,""))</f>
        <v>42100</v>
      </c>
      <c r="D7" s="17">
        <f>IF(DAY(AprSun1)=1,IF(AND(YEAR(AprSun1+3)=연간_달력,MONTH(AprSun1+3)=4),AprSun1+3,""),IF(AND(YEAR(AprSun1+10)=연간_달력,MONTH(AprSun1+10)=4),AprSun1+10,""))</f>
        <v>42101</v>
      </c>
      <c r="E7" s="17">
        <f>IF(DAY(AprSun1)=1,IF(AND(YEAR(AprSun1+4)=연간_달력,MONTH(AprSun1+4)=4),AprSun1+4,""),IF(AND(YEAR(AprSun1+11)=연간_달력,MONTH(AprSun1+11)=4),AprSun1+11,""))</f>
        <v>42102</v>
      </c>
      <c r="F7" s="17">
        <f>IF(DAY(AprSun1)=1,IF(AND(YEAR(AprSun1+5)=연간_달력,MONTH(AprSun1+5)=4),AprSun1+5,""),IF(AND(YEAR(AprSun1+12)=연간_달력,MONTH(AprSun1+12)=4),AprSun1+12,""))</f>
        <v>42103</v>
      </c>
      <c r="G7" s="17">
        <f>IF(DAY(AprSun1)=1,IF(AND(YEAR(AprSun1+6)=연간_달력,MONTH(AprSun1+6)=4),AprSun1+6,""),IF(AND(YEAR(AprSun1+13)=연간_달력,MONTH(AprSun1+13)=4),AprSun1+13,""))</f>
        <v>42104</v>
      </c>
      <c r="H7" s="17">
        <f>IF(DAY(AprSun1)=1,IF(AND(YEAR(AprSun1+7)=연간_달력,MONTH(AprSun1+7)=4),AprSun1+7,""),IF(AND(YEAR(AprSun1+14)=연간_달력,MONTH(AprSun1+14)=4),AprSun1+14,""))</f>
        <v>42105</v>
      </c>
      <c r="I7" s="13"/>
    </row>
    <row r="8" spans="1:18" ht="64.5" customHeight="1">
      <c r="A8" s="6"/>
      <c r="B8" s="18"/>
      <c r="C8" s="18"/>
      <c r="D8" s="18"/>
      <c r="E8" s="18"/>
      <c r="F8" s="18"/>
      <c r="G8" s="19"/>
      <c r="H8" s="19"/>
      <c r="I8" s="13"/>
    </row>
    <row r="9" spans="1:18" ht="15" customHeight="1">
      <c r="A9" s="6"/>
      <c r="B9" s="20">
        <f>IF(DAY(AprSun1)=1,IF(AND(YEAR(AprSun1+8)=연간_달력,MONTH(AprSun1+8)=4),AprSun1+8,""),IF(AND(YEAR(AprSun1+15)=연간_달력,MONTH(AprSun1+15)=4),AprSun1+15,""))</f>
        <v>42106</v>
      </c>
      <c r="C9" s="20">
        <f>IF(DAY(AprSun1)=1,IF(AND(YEAR(AprSun1+9)=연간_달력,MONTH(AprSun1+9)=4),AprSun1+9,""),IF(AND(YEAR(AprSun1+16)=연간_달력,MONTH(AprSun1+16)=4),AprSun1+16,""))</f>
        <v>42107</v>
      </c>
      <c r="D9" s="20">
        <f>IF(DAY(AprSun1)=1,IF(AND(YEAR(AprSun1+10)=연간_달력,MONTH(AprSun1+10)=4),AprSun1+10,""),IF(AND(YEAR(AprSun1+17)=연간_달력,MONTH(AprSun1+17)=4),AprSun1+17,""))</f>
        <v>42108</v>
      </c>
      <c r="E9" s="20">
        <f>IF(DAY(AprSun1)=1,IF(AND(YEAR(AprSun1+11)=연간_달력,MONTH(AprSun1+11)=4),AprSun1+11,""),IF(AND(YEAR(AprSun1+18)=연간_달력,MONTH(AprSun1+18)=4),AprSun1+18,""))</f>
        <v>42109</v>
      </c>
      <c r="F9" s="20">
        <f>IF(DAY(AprSun1)=1,IF(AND(YEAR(AprSun1+12)=연간_달력,MONTH(AprSun1+12)=4),AprSun1+12,""),IF(AND(YEAR(AprSun1+19)=연간_달력,MONTH(AprSun1+19)=4),AprSun1+19,""))</f>
        <v>42110</v>
      </c>
      <c r="G9" s="20">
        <f>IF(DAY(AprSun1)=1,IF(AND(YEAR(AprSun1+13)=연간_달력,MONTH(AprSun1+13)=4),AprSun1+13,""),IF(AND(YEAR(AprSun1+20)=연간_달력,MONTH(AprSun1+20)=4),AprSun1+20,""))</f>
        <v>42111</v>
      </c>
      <c r="H9" s="20">
        <f>IF(DAY(AprSun1)=1,IF(AND(YEAR(AprSun1+14)=연간_달력,MONTH(AprSun1+14)=4),AprSun1+14,""),IF(AND(YEAR(AprSun1+21)=연간_달력,MONTH(AprSun1+21)=4),AprSun1+21,""))</f>
        <v>42112</v>
      </c>
      <c r="I9" s="13"/>
    </row>
    <row r="10" spans="1:18" ht="64.5" customHeight="1">
      <c r="A10" s="6"/>
      <c r="B10" s="15"/>
      <c r="C10" s="15"/>
      <c r="D10" s="15"/>
      <c r="E10" s="15"/>
      <c r="F10" s="15"/>
      <c r="G10" s="16"/>
      <c r="H10" s="16"/>
      <c r="I10" s="13"/>
    </row>
    <row r="11" spans="1:18" ht="15" customHeight="1">
      <c r="A11" s="6"/>
      <c r="B11" s="21">
        <f>IF(DAY(AprSun1)=1,IF(AND(YEAR(AprSun1+15)=연간_달력,MONTH(AprSun1+15)=4),AprSun1+15,""),IF(AND(YEAR(AprSun1+22)=연간_달력,MONTH(AprSun1+22)=4),AprSun1+22,""))</f>
        <v>42113</v>
      </c>
      <c r="C11" s="21">
        <f>IF(DAY(AprSun1)=1,IF(AND(YEAR(AprSun1+16)=연간_달력,MONTH(AprSun1+16)=4),AprSun1+16,""),IF(AND(YEAR(AprSun1+23)=연간_달력,MONTH(AprSun1+23)=4),AprSun1+23,""))</f>
        <v>42114</v>
      </c>
      <c r="D11" s="21">
        <f>IF(DAY(AprSun1)=1,IF(AND(YEAR(AprSun1+17)=연간_달력,MONTH(AprSun1+17)=4),AprSun1+17,""),IF(AND(YEAR(AprSun1+24)=연간_달력,MONTH(AprSun1+24)=4),AprSun1+24,""))</f>
        <v>42115</v>
      </c>
      <c r="E11" s="21">
        <f>IF(DAY(AprSun1)=1,IF(AND(YEAR(AprSun1+18)=연간_달력,MONTH(AprSun1+18)=4),AprSun1+18,""),IF(AND(YEAR(AprSun1+25)=연간_달력,MONTH(AprSun1+25)=4),AprSun1+25,""))</f>
        <v>42116</v>
      </c>
      <c r="F11" s="21">
        <f>IF(DAY(AprSun1)=1,IF(AND(YEAR(AprSun1+19)=연간_달력,MONTH(AprSun1+19)=4),AprSun1+19,""),IF(AND(YEAR(AprSun1+26)=연간_달력,MONTH(AprSun1+26)=4),AprSun1+26,""))</f>
        <v>42117</v>
      </c>
      <c r="G11" s="21">
        <f>IF(DAY(AprSun1)=1,IF(AND(YEAR(AprSun1+20)=연간_달력,MONTH(AprSun1+20)=4),AprSun1+20,""),IF(AND(YEAR(AprSun1+27)=연간_달력,MONTH(AprSun1+27)=4),AprSun1+27,""))</f>
        <v>42118</v>
      </c>
      <c r="H11" s="21">
        <f>IF(DAY(AprSun1)=1,IF(AND(YEAR(AprSun1+21)=연간_달력,MONTH(AprSun1+21)=4),AprSun1+21,""),IF(AND(YEAR(AprSun1+28)=연간_달력,MONTH(AprSun1+28)=4),AprSun1+28,""))</f>
        <v>42119</v>
      </c>
      <c r="I11" s="13"/>
    </row>
    <row r="12" spans="1:18" ht="64.5" customHeight="1">
      <c r="A12" s="6"/>
      <c r="B12" s="18"/>
      <c r="C12" s="18"/>
      <c r="D12" s="18"/>
      <c r="E12" s="18"/>
      <c r="F12" s="18"/>
      <c r="G12" s="19"/>
      <c r="H12" s="19"/>
      <c r="I12" s="13"/>
    </row>
    <row r="13" spans="1:18" ht="15" customHeight="1">
      <c r="A13" s="6"/>
      <c r="B13" s="20">
        <f>IF(DAY(AprSun1)=1,IF(AND(YEAR(AprSun1+22)=연간_달력,MONTH(AprSun1+22)=4),AprSun1+22,""),IF(AND(YEAR(AprSun1+29)=연간_달력,MONTH(AprSun1+29)=4),AprSun1+29,""))</f>
        <v>42120</v>
      </c>
      <c r="C13" s="20">
        <f>IF(DAY(AprSun1)=1,IF(AND(YEAR(AprSun1+23)=연간_달력,MONTH(AprSun1+23)=4),AprSun1+23,""),IF(AND(YEAR(AprSun1+30)=연간_달력,MONTH(AprSun1+30)=4),AprSun1+30,""))</f>
        <v>42121</v>
      </c>
      <c r="D13" s="20">
        <f>IF(DAY(AprSun1)=1,IF(AND(YEAR(AprSun1+24)=연간_달력,MONTH(AprSun1+24)=4),AprSun1+24,""),IF(AND(YEAR(AprSun1+31)=연간_달력,MONTH(AprSun1+31)=4),AprSun1+31,""))</f>
        <v>42122</v>
      </c>
      <c r="E13" s="20">
        <f>IF(DAY(AprSun1)=1,IF(AND(YEAR(AprSun1+25)=연간_달력,MONTH(AprSun1+25)=4),AprSun1+25,""),IF(AND(YEAR(AprSun1+32)=연간_달력,MONTH(AprSun1+32)=4),AprSun1+32,""))</f>
        <v>42123</v>
      </c>
      <c r="F13" s="20">
        <f>IF(DAY(AprSun1)=1,IF(AND(YEAR(AprSun1+26)=연간_달력,MONTH(AprSun1+26)=4),AprSun1+26,""),IF(AND(YEAR(AprSun1+33)=연간_달력,MONTH(AprSun1+33)=4),AprSun1+33,""))</f>
        <v>42124</v>
      </c>
      <c r="G13" s="20" t="str">
        <f>IF(DAY(AprSun1)=1,IF(AND(YEAR(AprSun1+27)=연간_달력,MONTH(AprSun1+27)=4),AprSun1+27,""),IF(AND(YEAR(AprSun1+34)=연간_달력,MONTH(AprSun1+34)=4),AprSun1+34,""))</f>
        <v/>
      </c>
      <c r="H13" s="20" t="str">
        <f>IF(DAY(AprSun1)=1,IF(AND(YEAR(AprSun1+28)=연간_달력,MONTH(AprSun1+28)=4),AprSun1+28,""),IF(AND(YEAR(AprSun1+35)=연간_달력,MONTH(AprSun1+35)=4),AprSun1+35,""))</f>
        <v/>
      </c>
      <c r="I13" s="13"/>
    </row>
    <row r="14" spans="1:18" ht="64.5" customHeight="1">
      <c r="A14" s="6"/>
      <c r="B14" s="15"/>
      <c r="C14" s="15"/>
      <c r="D14" s="15"/>
      <c r="E14" s="15"/>
      <c r="F14" s="15"/>
      <c r="G14" s="16"/>
      <c r="H14" s="16"/>
      <c r="I14" s="13"/>
    </row>
    <row r="15" spans="1:18" ht="15" customHeight="1">
      <c r="A15" s="6"/>
      <c r="B15" s="21" t="str">
        <f>IF(DAY(AprSun1)=1,IF(AND(YEAR(AprSun1+29)=연간_달력,MONTH(AprSun1+29)=4),AprSun1+29,""),IF(AND(YEAR(AprSun1+36)=연간_달력,MONTH(AprSun1+36)=4),AprSun1+36,""))</f>
        <v/>
      </c>
      <c r="C15" s="22" t="str">
        <f>IF(DAY(AprSun1)=1,IF(AND(YEAR(AprSun1+30)=연간_달력,MONTH(AprSun1+30)=4),AprSun1+30,""),IF(AND(YEAR(AprSun1+37)=연간_달력,MONTH(AprSun1+37)=4),AprSun1+37,""))</f>
        <v/>
      </c>
      <c r="D15" s="31" t="s">
        <v>8</v>
      </c>
      <c r="E15" s="32"/>
      <c r="F15" s="32"/>
      <c r="G15" s="32"/>
      <c r="H15" s="33"/>
      <c r="I15" s="13"/>
    </row>
    <row r="16" spans="1:18" ht="64.5" customHeight="1">
      <c r="A16" s="6"/>
      <c r="B16" s="18"/>
      <c r="C16" s="18"/>
      <c r="D16" s="28"/>
      <c r="E16" s="29"/>
      <c r="F16" s="29"/>
      <c r="G16" s="29"/>
      <c r="H16" s="30"/>
      <c r="I16" s="13"/>
    </row>
    <row r="17" spans="3:5" ht="17.25" customHeight="1"/>
    <row r="19" spans="3:5" ht="21" customHeight="1">
      <c r="C19" s="23"/>
      <c r="D19" s="24"/>
      <c r="E19" s="25"/>
    </row>
    <row r="20" spans="3:5" ht="19.5" customHeight="1"/>
  </sheetData>
  <mergeCells count="3">
    <mergeCell ref="B3:F3"/>
    <mergeCell ref="D15:H15"/>
    <mergeCell ref="D16:H16"/>
  </mergeCells>
  <phoneticPr fontId="6" type="noConversion"/>
  <printOptions horizontalCentered="1" verticalCentered="1"/>
  <pageMargins left="0.2" right="0.2" top="0.25" bottom="0.25" header="0" footer="0"/>
  <pageSetup scale="93" orientation="landscape" r:id="rId1"/>
  <headerFooter scaleWithDoc="0"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0" tint="-4.9989318521683403E-2"/>
    <pageSetUpPr fitToPage="1"/>
  </sheetPr>
  <dimension ref="A1:R20"/>
  <sheetViews>
    <sheetView showGridLines="0" topLeftCell="A7" zoomScaleNormal="100" workbookViewId="0">
      <selection activeCell="L12" sqref="A1:XFD1048576"/>
    </sheetView>
  </sheetViews>
  <sheetFormatPr defaultColWidth="6.6640625" defaultRowHeight="16.5"/>
  <cols>
    <col min="1" max="1" width="3.109375" style="1" customWidth="1"/>
    <col min="2" max="9" width="13.77734375" style="1" customWidth="1"/>
    <col min="10" max="10" width="12.6640625" style="1" customWidth="1"/>
    <col min="11" max="11" width="2.109375" style="1" customWidth="1"/>
    <col min="12" max="12" width="11.77734375" style="1" customWidth="1"/>
    <col min="13" max="13" width="11.33203125" style="1" customWidth="1"/>
    <col min="14" max="16384" width="6.6640625" style="1"/>
  </cols>
  <sheetData>
    <row r="1" spans="1:18" ht="14.25" customHeight="1">
      <c r="A1" s="6"/>
    </row>
    <row r="2" spans="1:18" ht="30" customHeight="1">
      <c r="A2" s="6"/>
      <c r="B2" s="4"/>
      <c r="C2" s="4"/>
      <c r="D2" s="4"/>
      <c r="E2" s="4"/>
      <c r="F2" s="4"/>
      <c r="G2" s="4"/>
      <c r="H2" s="4"/>
      <c r="I2" s="4"/>
      <c r="J2" s="4"/>
    </row>
    <row r="3" spans="1:18" ht="62.25" customHeight="1">
      <c r="A3" s="6"/>
      <c r="B3" s="34" t="str">
        <f>UPPER(TEXT(DATE(연간_달력,5,1),"yyyy년 mm월"))</f>
        <v>2015년 05월</v>
      </c>
      <c r="C3" s="34"/>
      <c r="D3" s="34"/>
      <c r="E3" s="34"/>
      <c r="F3" s="34"/>
    </row>
    <row r="4" spans="1:18" s="6" customFormat="1" ht="26.25" customHeight="1">
      <c r="B4" s="26" t="s">
        <v>7</v>
      </c>
      <c r="C4" s="9" t="s">
        <v>1</v>
      </c>
      <c r="D4" s="9" t="s">
        <v>2</v>
      </c>
      <c r="E4" s="9" t="s">
        <v>3</v>
      </c>
      <c r="F4" s="9" t="s">
        <v>4</v>
      </c>
      <c r="G4" s="9" t="s">
        <v>5</v>
      </c>
      <c r="H4" s="10" t="s">
        <v>6</v>
      </c>
      <c r="I4" s="1"/>
      <c r="J4" s="1"/>
      <c r="L4" s="1"/>
      <c r="M4" s="11"/>
      <c r="Q4" s="1"/>
      <c r="R4" s="1"/>
    </row>
    <row r="5" spans="1:18" s="6" customFormat="1" ht="15" customHeight="1">
      <c r="B5" s="12" t="str">
        <f>IF(DAY(MaySun1)=1,"",IF(AND(YEAR(MaySun1+1)=연간_달력,MONTH(MaySun1+1)=5),MaySun1+1,""))</f>
        <v/>
      </c>
      <c r="C5" s="12" t="str">
        <f>IF(DAY(MaySun1)=1,"",IF(AND(YEAR(MaySun1+2)=연간_달력,MONTH(MaySun1+2)=5),MaySun1+2,""))</f>
        <v/>
      </c>
      <c r="D5" s="12" t="str">
        <f>IF(DAY(MaySun1)=1,"",IF(AND(YEAR(MaySun1+3)=연간_달력,MONTH(MaySun1+3)=5),MaySun1+3,""))</f>
        <v/>
      </c>
      <c r="E5" s="12" t="str">
        <f>IF(DAY(MaySun1)=1,"",IF(AND(YEAR(MaySun1+4)=연간_달력,MONTH(MaySun1+4)=5),MaySun1+4,""))</f>
        <v/>
      </c>
      <c r="F5" s="12" t="str">
        <f>IF(DAY(MaySun1)=1,"",IF(AND(YEAR(MaySun1+5)=연간_달력,MONTH(MaySun1+5)=5),MaySun1+5,""))</f>
        <v/>
      </c>
      <c r="G5" s="12">
        <f>IF(DAY(MaySun1)=1,"",IF(AND(YEAR(MaySun1+6)=연간_달력,MONTH(MaySun1+6)=5),MaySun1+6,""))</f>
        <v>42125</v>
      </c>
      <c r="H5" s="12">
        <f>IF(DAY(MaySun1)=1,IF(AND(YEAR(MaySun1)=연간_달력,MONTH(MaySun1)=5),MaySun1,""),IF(AND(YEAR(MaySun1+7)=연간_달력,MONTH(MaySun1+7)=5),MaySun1+7,""))</f>
        <v>42126</v>
      </c>
      <c r="I5" s="13"/>
      <c r="K5" s="1"/>
      <c r="L5" s="1"/>
      <c r="M5" s="1"/>
      <c r="Q5" s="14"/>
      <c r="R5" s="1"/>
    </row>
    <row r="6" spans="1:18" s="14" customFormat="1" ht="64.5" customHeight="1">
      <c r="A6" s="6"/>
      <c r="B6" s="15"/>
      <c r="C6" s="15"/>
      <c r="D6" s="15"/>
      <c r="E6" s="15"/>
      <c r="F6" s="15"/>
      <c r="G6" s="16"/>
      <c r="H6" s="16"/>
      <c r="I6" s="13"/>
    </row>
    <row r="7" spans="1:18" ht="15" customHeight="1">
      <c r="A7" s="6"/>
      <c r="B7" s="17">
        <f>IF(DAY(MaySun1)=1,IF(AND(YEAR(MaySun1+1)=연간_달력,MONTH(MaySun1+1)=5),MaySun1+1,""),IF(AND(YEAR(MaySun1+8)=연간_달력,MONTH(MaySun1+8)=5),MaySun1+8,""))</f>
        <v>42127</v>
      </c>
      <c r="C7" s="17">
        <f>IF(DAY(MaySun1)=1,IF(AND(YEAR(MaySun1+2)=연간_달력,MONTH(MaySun1+2)=5),MaySun1+2,""),IF(AND(YEAR(MaySun1+9)=연간_달력,MONTH(MaySun1+9)=5),MaySun1+9,""))</f>
        <v>42128</v>
      </c>
      <c r="D7" s="17">
        <f>IF(DAY(MaySun1)=1,IF(AND(YEAR(MaySun1+3)=연간_달력,MONTH(MaySun1+3)=5),MaySun1+3,""),IF(AND(YEAR(MaySun1+10)=연간_달력,MONTH(MaySun1+10)=5),MaySun1+10,""))</f>
        <v>42129</v>
      </c>
      <c r="E7" s="17">
        <f>IF(DAY(MaySun1)=1,IF(AND(YEAR(MaySun1+4)=연간_달력,MONTH(MaySun1+4)=5),MaySun1+4,""),IF(AND(YEAR(MaySun1+11)=연간_달력,MONTH(MaySun1+11)=5),MaySun1+11,""))</f>
        <v>42130</v>
      </c>
      <c r="F7" s="17">
        <f>IF(DAY(MaySun1)=1,IF(AND(YEAR(MaySun1+5)=연간_달력,MONTH(MaySun1+5)=5),MaySun1+5,""),IF(AND(YEAR(MaySun1+12)=연간_달력,MONTH(MaySun1+12)=5),MaySun1+12,""))</f>
        <v>42131</v>
      </c>
      <c r="G7" s="17">
        <f>IF(DAY(MaySun1)=1,IF(AND(YEAR(MaySun1+6)=연간_달력,MONTH(MaySun1+6)=5),MaySun1+6,""),IF(AND(YEAR(MaySun1+13)=연간_달력,MONTH(MaySun1+13)=5),MaySun1+13,""))</f>
        <v>42132</v>
      </c>
      <c r="H7" s="17">
        <f>IF(DAY(MaySun1)=1,IF(AND(YEAR(MaySun1+7)=연간_달력,MONTH(MaySun1+7)=5),MaySun1+7,""),IF(AND(YEAR(MaySun1+14)=연간_달력,MONTH(MaySun1+14)=5),MaySun1+14,""))</f>
        <v>42133</v>
      </c>
      <c r="I7" s="13"/>
    </row>
    <row r="8" spans="1:18" ht="64.5" customHeight="1">
      <c r="A8" s="6"/>
      <c r="B8" s="18"/>
      <c r="C8" s="18"/>
      <c r="D8" s="18"/>
      <c r="E8" s="18"/>
      <c r="F8" s="18"/>
      <c r="G8" s="19"/>
      <c r="H8" s="19"/>
      <c r="I8" s="13"/>
    </row>
    <row r="9" spans="1:18" ht="15" customHeight="1">
      <c r="A9" s="6"/>
      <c r="B9" s="20">
        <f>IF(DAY(MaySun1)=1,IF(AND(YEAR(MaySun1+8)=연간_달력,MONTH(MaySun1+8)=5),MaySun1+8,""),IF(AND(YEAR(MaySun1+15)=연간_달력,MONTH(MaySun1+15)=5),MaySun1+15,""))</f>
        <v>42134</v>
      </c>
      <c r="C9" s="20">
        <f>IF(DAY(MaySun1)=1,IF(AND(YEAR(MaySun1+9)=연간_달력,MONTH(MaySun1+9)=5),MaySun1+9,""),IF(AND(YEAR(MaySun1+16)=연간_달력,MONTH(MaySun1+16)=5),MaySun1+16,""))</f>
        <v>42135</v>
      </c>
      <c r="D9" s="20">
        <f>IF(DAY(MaySun1)=1,IF(AND(YEAR(MaySun1+10)=연간_달력,MONTH(MaySun1+10)=5),MaySun1+10,""),IF(AND(YEAR(MaySun1+17)=연간_달력,MONTH(MaySun1+17)=5),MaySun1+17,""))</f>
        <v>42136</v>
      </c>
      <c r="E9" s="20">
        <f>IF(DAY(MaySun1)=1,IF(AND(YEAR(MaySun1+11)=연간_달력,MONTH(MaySun1+11)=5),MaySun1+11,""),IF(AND(YEAR(MaySun1+18)=연간_달력,MONTH(MaySun1+18)=5),MaySun1+18,""))</f>
        <v>42137</v>
      </c>
      <c r="F9" s="20">
        <f>IF(DAY(MaySun1)=1,IF(AND(YEAR(MaySun1+12)=연간_달력,MONTH(MaySun1+12)=5),MaySun1+12,""),IF(AND(YEAR(MaySun1+19)=연간_달력,MONTH(MaySun1+19)=5),MaySun1+19,""))</f>
        <v>42138</v>
      </c>
      <c r="G9" s="20">
        <f>IF(DAY(MaySun1)=1,IF(AND(YEAR(MaySun1+13)=연간_달력,MONTH(MaySun1+13)=5),MaySun1+13,""),IF(AND(YEAR(MaySun1+20)=연간_달력,MONTH(MaySun1+20)=5),MaySun1+20,""))</f>
        <v>42139</v>
      </c>
      <c r="H9" s="20">
        <f>IF(DAY(MaySun1)=1,IF(AND(YEAR(MaySun1+14)=연간_달력,MONTH(MaySun1+14)=5),MaySun1+14,""),IF(AND(YEAR(MaySun1+21)=연간_달력,MONTH(MaySun1+21)=5),MaySun1+21,""))</f>
        <v>42140</v>
      </c>
      <c r="I9" s="13"/>
    </row>
    <row r="10" spans="1:18" ht="64.5" customHeight="1">
      <c r="A10" s="6"/>
      <c r="B10" s="15"/>
      <c r="C10" s="15"/>
      <c r="D10" s="15"/>
      <c r="E10" s="15"/>
      <c r="F10" s="15"/>
      <c r="G10" s="16"/>
      <c r="H10" s="16"/>
      <c r="I10" s="13"/>
    </row>
    <row r="11" spans="1:18" ht="15" customHeight="1">
      <c r="A11" s="6"/>
      <c r="B11" s="21">
        <f>IF(DAY(MaySun1)=1,IF(AND(YEAR(MaySun1+15)=연간_달력,MONTH(MaySun1+15)=5),MaySun1+15,""),IF(AND(YEAR(MaySun1+22)=연간_달력,MONTH(MaySun1+22)=5),MaySun1+22,""))</f>
        <v>42141</v>
      </c>
      <c r="C11" s="21">
        <f>IF(DAY(MaySun1)=1,IF(AND(YEAR(MaySun1+16)=연간_달력,MONTH(MaySun1+16)=5),MaySun1+16,""),IF(AND(YEAR(MaySun1+23)=연간_달력,MONTH(MaySun1+23)=5),MaySun1+23,""))</f>
        <v>42142</v>
      </c>
      <c r="D11" s="21">
        <f>IF(DAY(MaySun1)=1,IF(AND(YEAR(MaySun1+17)=연간_달력,MONTH(MaySun1+17)=5),MaySun1+17,""),IF(AND(YEAR(MaySun1+24)=연간_달력,MONTH(MaySun1+24)=5),MaySun1+24,""))</f>
        <v>42143</v>
      </c>
      <c r="E11" s="21">
        <f>IF(DAY(MaySun1)=1,IF(AND(YEAR(MaySun1+18)=연간_달력,MONTH(MaySun1+18)=5),MaySun1+18,""),IF(AND(YEAR(MaySun1+25)=연간_달력,MONTH(MaySun1+25)=5),MaySun1+25,""))</f>
        <v>42144</v>
      </c>
      <c r="F11" s="21">
        <f>IF(DAY(MaySun1)=1,IF(AND(YEAR(MaySun1+19)=연간_달력,MONTH(MaySun1+19)=5),MaySun1+19,""),IF(AND(YEAR(MaySun1+26)=연간_달력,MONTH(MaySun1+26)=5),MaySun1+26,""))</f>
        <v>42145</v>
      </c>
      <c r="G11" s="21">
        <f>IF(DAY(MaySun1)=1,IF(AND(YEAR(MaySun1+20)=연간_달력,MONTH(MaySun1+20)=5),MaySun1+20,""),IF(AND(YEAR(MaySun1+27)=연간_달력,MONTH(MaySun1+27)=5),MaySun1+27,""))</f>
        <v>42146</v>
      </c>
      <c r="H11" s="21">
        <f>IF(DAY(MaySun1)=1,IF(AND(YEAR(MaySun1+21)=연간_달력,MONTH(MaySun1+21)=5),MaySun1+21,""),IF(AND(YEAR(MaySun1+28)=연간_달력,MONTH(MaySun1+28)=5),MaySun1+28,""))</f>
        <v>42147</v>
      </c>
      <c r="I11" s="13"/>
    </row>
    <row r="12" spans="1:18" ht="64.5" customHeight="1">
      <c r="A12" s="6"/>
      <c r="B12" s="18"/>
      <c r="C12" s="18"/>
      <c r="D12" s="18"/>
      <c r="E12" s="18"/>
      <c r="F12" s="18"/>
      <c r="G12" s="19"/>
      <c r="H12" s="19"/>
      <c r="I12" s="13"/>
    </row>
    <row r="13" spans="1:18" ht="15" customHeight="1">
      <c r="A13" s="6"/>
      <c r="B13" s="20">
        <f>IF(DAY(MaySun1)=1,IF(AND(YEAR(MaySun1+22)=연간_달력,MONTH(MaySun1+22)=5),MaySun1+22,""),IF(AND(YEAR(MaySun1+29)=연간_달력,MONTH(MaySun1+29)=5),MaySun1+29,""))</f>
        <v>42148</v>
      </c>
      <c r="C13" s="20">
        <f>IF(DAY(MaySun1)=1,IF(AND(YEAR(MaySun1+23)=연간_달력,MONTH(MaySun1+23)=5),MaySun1+23,""),IF(AND(YEAR(MaySun1+30)=연간_달력,MONTH(MaySun1+30)=5),MaySun1+30,""))</f>
        <v>42149</v>
      </c>
      <c r="D13" s="20">
        <f>IF(DAY(MaySun1)=1,IF(AND(YEAR(MaySun1+24)=연간_달력,MONTH(MaySun1+24)=5),MaySun1+24,""),IF(AND(YEAR(MaySun1+31)=연간_달력,MONTH(MaySun1+31)=5),MaySun1+31,""))</f>
        <v>42150</v>
      </c>
      <c r="E13" s="20">
        <f>IF(DAY(MaySun1)=1,IF(AND(YEAR(MaySun1+25)=연간_달력,MONTH(MaySun1+25)=5),MaySun1+25,""),IF(AND(YEAR(MaySun1+32)=연간_달력,MONTH(MaySun1+32)=5),MaySun1+32,""))</f>
        <v>42151</v>
      </c>
      <c r="F13" s="20">
        <f>IF(DAY(MaySun1)=1,IF(AND(YEAR(MaySun1+26)=연간_달력,MONTH(MaySun1+26)=5),MaySun1+26,""),IF(AND(YEAR(MaySun1+33)=연간_달력,MONTH(MaySun1+33)=5),MaySun1+33,""))</f>
        <v>42152</v>
      </c>
      <c r="G13" s="20">
        <f>IF(DAY(MaySun1)=1,IF(AND(YEAR(MaySun1+27)=연간_달력,MONTH(MaySun1+27)=5),MaySun1+27,""),IF(AND(YEAR(MaySun1+34)=연간_달력,MONTH(MaySun1+34)=5),MaySun1+34,""))</f>
        <v>42153</v>
      </c>
      <c r="H13" s="20">
        <f>IF(DAY(MaySun1)=1,IF(AND(YEAR(MaySun1+28)=연간_달력,MONTH(MaySun1+28)=5),MaySun1+28,""),IF(AND(YEAR(MaySun1+35)=연간_달력,MONTH(MaySun1+35)=5),MaySun1+35,""))</f>
        <v>42154</v>
      </c>
      <c r="I13" s="13"/>
    </row>
    <row r="14" spans="1:18" ht="64.5" customHeight="1">
      <c r="A14" s="6"/>
      <c r="B14" s="15"/>
      <c r="C14" s="15"/>
      <c r="D14" s="15"/>
      <c r="E14" s="15"/>
      <c r="F14" s="15"/>
      <c r="G14" s="16"/>
      <c r="H14" s="16"/>
      <c r="I14" s="13"/>
    </row>
    <row r="15" spans="1:18" ht="15" customHeight="1">
      <c r="A15" s="6"/>
      <c r="B15" s="21">
        <f>IF(DAY(MaySun1)=1,IF(AND(YEAR(MaySun1+29)=연간_달력,MONTH(MaySun1+29)=5),MaySun1+29,""),IF(AND(YEAR(MaySun1+36)=연간_달력,MONTH(MaySun1+36)=5),MaySun1+36,""))</f>
        <v>42155</v>
      </c>
      <c r="C15" s="22" t="str">
        <f>IF(DAY(MaySun1)=1,IF(AND(YEAR(MaySun1+30)=연간_달력,MONTH(MaySun1+30)=5),MaySun1+30,""),IF(AND(YEAR(MaySun1+37)=연간_달력,MONTH(MaySun1+37)=5),MaySun1+37,""))</f>
        <v/>
      </c>
      <c r="D15" s="31" t="s">
        <v>8</v>
      </c>
      <c r="E15" s="32"/>
      <c r="F15" s="32"/>
      <c r="G15" s="32"/>
      <c r="H15" s="33"/>
      <c r="I15" s="13"/>
    </row>
    <row r="16" spans="1:18" ht="64.5" customHeight="1">
      <c r="A16" s="6"/>
      <c r="B16" s="18"/>
      <c r="C16" s="18"/>
      <c r="D16" s="28"/>
      <c r="E16" s="29"/>
      <c r="F16" s="29"/>
      <c r="G16" s="29"/>
      <c r="H16" s="30"/>
      <c r="I16" s="13"/>
    </row>
    <row r="17" spans="3:5" ht="17.25" customHeight="1"/>
    <row r="19" spans="3:5" ht="21" customHeight="1">
      <c r="C19" s="23"/>
      <c r="D19" s="24"/>
      <c r="E19" s="25"/>
    </row>
    <row r="20" spans="3:5" ht="19.5" customHeight="1"/>
  </sheetData>
  <mergeCells count="3">
    <mergeCell ref="B3:F3"/>
    <mergeCell ref="D15:H15"/>
    <mergeCell ref="D16:H16"/>
  </mergeCells>
  <phoneticPr fontId="6" type="noConversion"/>
  <printOptions horizontalCentered="1" verticalCentered="1"/>
  <pageMargins left="0.2" right="0.2" top="0.25" bottom="0.25" header="0" footer="0"/>
  <pageSetup scale="93" orientation="landscape" r:id="rId1"/>
  <headerFooter scaleWithDoc="0"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0" tint="-0.499984740745262"/>
    <pageSetUpPr fitToPage="1"/>
  </sheetPr>
  <dimension ref="A1:R20"/>
  <sheetViews>
    <sheetView showGridLines="0" topLeftCell="A4" zoomScaleNormal="100" workbookViewId="0">
      <selection activeCell="D17" sqref="D17"/>
    </sheetView>
  </sheetViews>
  <sheetFormatPr defaultColWidth="6.6640625" defaultRowHeight="16.5"/>
  <cols>
    <col min="1" max="1" width="3.109375" style="1" customWidth="1"/>
    <col min="2" max="9" width="13.77734375" style="1" customWidth="1"/>
    <col min="10" max="10" width="12.6640625" style="1" customWidth="1"/>
    <col min="11" max="11" width="2.109375" style="1" customWidth="1"/>
    <col min="12" max="12" width="11.77734375" style="1" customWidth="1"/>
    <col min="13" max="13" width="11.33203125" style="1" customWidth="1"/>
    <col min="14" max="16384" width="6.6640625" style="1"/>
  </cols>
  <sheetData>
    <row r="1" spans="1:18" ht="14.25" customHeight="1">
      <c r="A1" s="6"/>
    </row>
    <row r="2" spans="1:18" ht="30" customHeight="1">
      <c r="A2" s="6"/>
      <c r="B2" s="4"/>
      <c r="C2" s="4"/>
      <c r="D2" s="4"/>
      <c r="E2" s="4"/>
      <c r="F2" s="4"/>
      <c r="G2" s="4"/>
      <c r="H2" s="4"/>
      <c r="I2" s="4"/>
      <c r="J2" s="4"/>
    </row>
    <row r="3" spans="1:18" ht="62.25" customHeight="1">
      <c r="A3" s="6"/>
      <c r="B3" s="34" t="str">
        <f>UPPER(TEXT(DATE(연간_달력,6,1),"yyyy년 mm월"))</f>
        <v>2015년 06월</v>
      </c>
      <c r="C3" s="34"/>
      <c r="D3" s="34"/>
      <c r="E3" s="34"/>
      <c r="F3" s="34"/>
    </row>
    <row r="4" spans="1:18" s="6" customFormat="1" ht="26.25" customHeight="1">
      <c r="B4" s="26" t="s">
        <v>7</v>
      </c>
      <c r="C4" s="9" t="s">
        <v>1</v>
      </c>
      <c r="D4" s="9" t="s">
        <v>2</v>
      </c>
      <c r="E4" s="9" t="s">
        <v>3</v>
      </c>
      <c r="F4" s="9" t="s">
        <v>4</v>
      </c>
      <c r="G4" s="9" t="s">
        <v>5</v>
      </c>
      <c r="H4" s="10" t="s">
        <v>6</v>
      </c>
      <c r="I4" s="1"/>
      <c r="J4" s="1"/>
      <c r="L4" s="1"/>
      <c r="M4" s="11"/>
      <c r="Q4" s="1"/>
      <c r="R4" s="1"/>
    </row>
    <row r="5" spans="1:18" s="6" customFormat="1" ht="15" customHeight="1">
      <c r="B5" s="12" t="str">
        <f>IF(DAY(JunSun1)=1,"",IF(AND(YEAR(JunSun1+1)=연간_달력,MONTH(JunSun1+1)=6),JunSun1+1,""))</f>
        <v/>
      </c>
      <c r="C5" s="12">
        <f>IF(DAY(JunSun1)=1,"",IF(AND(YEAR(JunSun1+2)=연간_달력,MONTH(JunSun1+2)=6),JunSun1+2,""))</f>
        <v>42156</v>
      </c>
      <c r="D5" s="12">
        <f>IF(DAY(JunSun1)=1,"",IF(AND(YEAR(JunSun1+3)=연간_달력,MONTH(JunSun1+3)=6),JunSun1+3,""))</f>
        <v>42157</v>
      </c>
      <c r="E5" s="12">
        <f>IF(DAY(JunSun1)=1,"",IF(AND(YEAR(JunSun1+4)=연간_달력,MONTH(JunSun1+4)=6),JunSun1+4,""))</f>
        <v>42158</v>
      </c>
      <c r="F5" s="12">
        <f>IF(DAY(JunSun1)=1,"",IF(AND(YEAR(JunSun1+5)=연간_달력,MONTH(JunSun1+5)=6),JunSun1+5,""))</f>
        <v>42159</v>
      </c>
      <c r="G5" s="12">
        <f>IF(DAY(JunSun1)=1,"",IF(AND(YEAR(JunSun1+6)=연간_달력,MONTH(JunSun1+6)=6),JunSun1+6,""))</f>
        <v>42160</v>
      </c>
      <c r="H5" s="12">
        <f>IF(DAY(JunSun1)=1,IF(AND(YEAR(JunSun1)=연간_달력,MONTH(JunSun1)=6),JunSun1,""),IF(AND(YEAR(JunSun1+7)=연간_달력,MONTH(JunSun1+7)=6),JunSun1+7,""))</f>
        <v>42161</v>
      </c>
      <c r="I5" s="13"/>
      <c r="K5" s="1"/>
      <c r="L5" s="1"/>
      <c r="M5" s="1"/>
      <c r="Q5" s="14"/>
      <c r="R5" s="1"/>
    </row>
    <row r="6" spans="1:18" s="14" customFormat="1" ht="64.5" customHeight="1">
      <c r="A6" s="6"/>
      <c r="B6" s="15"/>
      <c r="C6" s="15"/>
      <c r="D6" s="15"/>
      <c r="E6" s="15"/>
      <c r="F6" s="15"/>
      <c r="G6" s="16"/>
      <c r="H6" s="16"/>
      <c r="I6" s="13"/>
    </row>
    <row r="7" spans="1:18" ht="15" customHeight="1">
      <c r="A7" s="6"/>
      <c r="B7" s="17">
        <f>IF(DAY(JunSun1)=1,IF(AND(YEAR(JunSun1+1)=연간_달력,MONTH(JunSun1+1)=6),JunSun1+1,""),IF(AND(YEAR(JunSun1+8)=연간_달력,MONTH(JunSun1+8)=6),JunSun1+8,""))</f>
        <v>42162</v>
      </c>
      <c r="C7" s="17">
        <f>IF(DAY(JunSun1)=1,IF(AND(YEAR(JunSun1+2)=연간_달력,MONTH(JunSun1+2)=6),JunSun1+2,""),IF(AND(YEAR(JunSun1+9)=연간_달력,MONTH(JunSun1+9)=6),JunSun1+9,""))</f>
        <v>42163</v>
      </c>
      <c r="D7" s="17">
        <f>IF(DAY(JunSun1)=1,IF(AND(YEAR(JunSun1+3)=연간_달력,MONTH(JunSun1+3)=6),JunSun1+3,""),IF(AND(YEAR(JunSun1+10)=연간_달력,MONTH(JunSun1+10)=6),JunSun1+10,""))</f>
        <v>42164</v>
      </c>
      <c r="E7" s="17">
        <f>IF(DAY(JunSun1)=1,IF(AND(YEAR(JunSun1+4)=연간_달력,MONTH(JunSun1+4)=6),JunSun1+4,""),IF(AND(YEAR(JunSun1+11)=연간_달력,MONTH(JunSun1+11)=6),JunSun1+11,""))</f>
        <v>42165</v>
      </c>
      <c r="F7" s="17">
        <f>IF(DAY(JunSun1)=1,IF(AND(YEAR(JunSun1+5)=연간_달력,MONTH(JunSun1+5)=6),JunSun1+5,""),IF(AND(YEAR(JunSun1+12)=연간_달력,MONTH(JunSun1+12)=6),JunSun1+12,""))</f>
        <v>42166</v>
      </c>
      <c r="G7" s="17">
        <f>IF(DAY(JunSun1)=1,IF(AND(YEAR(JunSun1+6)=연간_달력,MONTH(JunSun1+6)=6),JunSun1+6,""),IF(AND(YEAR(JunSun1+13)=연간_달력,MONTH(JunSun1+13)=6),JunSun1+13,""))</f>
        <v>42167</v>
      </c>
      <c r="H7" s="17">
        <f>IF(DAY(JunSun1)=1,IF(AND(YEAR(JunSun1+7)=연간_달력,MONTH(JunSun1+7)=6),JunSun1+7,""),IF(AND(YEAR(JunSun1+14)=연간_달력,MONTH(JunSun1+14)=6),JunSun1+14,""))</f>
        <v>42168</v>
      </c>
      <c r="I7" s="13"/>
    </row>
    <row r="8" spans="1:18" ht="64.5" customHeight="1">
      <c r="A8" s="6"/>
      <c r="B8" s="18"/>
      <c r="C8" s="18"/>
      <c r="D8" s="18"/>
      <c r="E8" s="18"/>
      <c r="F8" s="18"/>
      <c r="G8" s="19"/>
      <c r="H8" s="19"/>
      <c r="I8" s="13"/>
    </row>
    <row r="9" spans="1:18" ht="15" customHeight="1">
      <c r="A9" s="6"/>
      <c r="B9" s="20">
        <f>IF(DAY(JunSun1)=1,IF(AND(YEAR(JunSun1+8)=연간_달력,MONTH(JunSun1+8)=6),JunSun1+8,""),IF(AND(YEAR(JunSun1+15)=연간_달력,MONTH(JunSun1+15)=6),JunSun1+15,""))</f>
        <v>42169</v>
      </c>
      <c r="C9" s="20">
        <f>IF(DAY(JunSun1)=1,IF(AND(YEAR(JunSun1+9)=연간_달력,MONTH(JunSun1+9)=6),JunSun1+9,""),IF(AND(YEAR(JunSun1+16)=연간_달력,MONTH(JunSun1+16)=6),JunSun1+16,""))</f>
        <v>42170</v>
      </c>
      <c r="D9" s="20">
        <f>IF(DAY(JunSun1)=1,IF(AND(YEAR(JunSun1+10)=연간_달력,MONTH(JunSun1+10)=6),JunSun1+10,""),IF(AND(YEAR(JunSun1+17)=연간_달력,MONTH(JunSun1+17)=6),JunSun1+17,""))</f>
        <v>42171</v>
      </c>
      <c r="E9" s="20">
        <f>IF(DAY(JunSun1)=1,IF(AND(YEAR(JunSun1+11)=연간_달력,MONTH(JunSun1+11)=6),JunSun1+11,""),IF(AND(YEAR(JunSun1+18)=연간_달력,MONTH(JunSun1+18)=6),JunSun1+18,""))</f>
        <v>42172</v>
      </c>
      <c r="F9" s="20">
        <f>IF(DAY(JunSun1)=1,IF(AND(YEAR(JunSun1+12)=연간_달력,MONTH(JunSun1+12)=6),JunSun1+12,""),IF(AND(YEAR(JunSun1+19)=연간_달력,MONTH(JunSun1+19)=6),JunSun1+19,""))</f>
        <v>42173</v>
      </c>
      <c r="G9" s="20">
        <f>IF(DAY(JunSun1)=1,IF(AND(YEAR(JunSun1+13)=연간_달력,MONTH(JunSun1+13)=6),JunSun1+13,""),IF(AND(YEAR(JunSun1+20)=연간_달력,MONTH(JunSun1+20)=6),JunSun1+20,""))</f>
        <v>42174</v>
      </c>
      <c r="H9" s="20">
        <f>IF(DAY(JunSun1)=1,IF(AND(YEAR(JunSun1+14)=연간_달력,MONTH(JunSun1+14)=6),JunSun1+14,""),IF(AND(YEAR(JunSun1+21)=연간_달력,MONTH(JunSun1+21)=6),JunSun1+21,""))</f>
        <v>42175</v>
      </c>
      <c r="I9" s="13"/>
    </row>
    <row r="10" spans="1:18" ht="64.5" customHeight="1">
      <c r="A10" s="6"/>
      <c r="B10" s="15"/>
      <c r="C10" s="15"/>
      <c r="D10" s="15"/>
      <c r="E10" s="15"/>
      <c r="F10" s="15"/>
      <c r="G10" s="16"/>
      <c r="H10" s="16"/>
      <c r="I10" s="13"/>
    </row>
    <row r="11" spans="1:18" ht="15" customHeight="1">
      <c r="A11" s="6"/>
      <c r="B11" s="21">
        <f>IF(DAY(JunSun1)=1,IF(AND(YEAR(JunSun1+15)=연간_달력,MONTH(JunSun1+15)=6),JunSun1+15,""),IF(AND(YEAR(JunSun1+22)=연간_달력,MONTH(JunSun1+22)=6),JunSun1+22,""))</f>
        <v>42176</v>
      </c>
      <c r="C11" s="21">
        <f>IF(DAY(JunSun1)=1,IF(AND(YEAR(JunSun1+16)=연간_달력,MONTH(JunSun1+16)=6),JunSun1+16,""),IF(AND(YEAR(JunSun1+23)=연간_달력,MONTH(JunSun1+23)=6),JunSun1+23,""))</f>
        <v>42177</v>
      </c>
      <c r="D11" s="21">
        <f>IF(DAY(JunSun1)=1,IF(AND(YEAR(JunSun1+17)=연간_달력,MONTH(JunSun1+17)=6),JunSun1+17,""),IF(AND(YEAR(JunSun1+24)=연간_달력,MONTH(JunSun1+24)=6),JunSun1+24,""))</f>
        <v>42178</v>
      </c>
      <c r="E11" s="21">
        <f>IF(DAY(JunSun1)=1,IF(AND(YEAR(JunSun1+18)=연간_달력,MONTH(JunSun1+18)=6),JunSun1+18,""),IF(AND(YEAR(JunSun1+25)=연간_달력,MONTH(JunSun1+25)=6),JunSun1+25,""))</f>
        <v>42179</v>
      </c>
      <c r="F11" s="21">
        <f>IF(DAY(JunSun1)=1,IF(AND(YEAR(JunSun1+19)=연간_달력,MONTH(JunSun1+19)=6),JunSun1+19,""),IF(AND(YEAR(JunSun1+26)=연간_달력,MONTH(JunSun1+26)=6),JunSun1+26,""))</f>
        <v>42180</v>
      </c>
      <c r="G11" s="21">
        <f>IF(DAY(JunSun1)=1,IF(AND(YEAR(JunSun1+20)=연간_달력,MONTH(JunSun1+20)=6),JunSun1+20,""),IF(AND(YEAR(JunSun1+27)=연간_달력,MONTH(JunSun1+27)=6),JunSun1+27,""))</f>
        <v>42181</v>
      </c>
      <c r="H11" s="21">
        <f>IF(DAY(JunSun1)=1,IF(AND(YEAR(JunSun1+21)=연간_달력,MONTH(JunSun1+21)=6),JunSun1+21,""),IF(AND(YEAR(JunSun1+28)=연간_달력,MONTH(JunSun1+28)=6),JunSun1+28,""))</f>
        <v>42182</v>
      </c>
      <c r="I11" s="13"/>
    </row>
    <row r="12" spans="1:18" ht="64.5" customHeight="1">
      <c r="A12" s="6"/>
      <c r="B12" s="18"/>
      <c r="C12" s="18"/>
      <c r="D12" s="18"/>
      <c r="E12" s="18"/>
      <c r="F12" s="18"/>
      <c r="G12" s="19"/>
      <c r="H12" s="19"/>
      <c r="I12" s="13"/>
    </row>
    <row r="13" spans="1:18" ht="15" customHeight="1">
      <c r="A13" s="6"/>
      <c r="B13" s="20">
        <f>IF(DAY(JunSun1)=1,IF(AND(YEAR(JunSun1+22)=연간_달력,MONTH(JunSun1+22)=6),JunSun1+22,""),IF(AND(YEAR(JunSun1+29)=연간_달력,MONTH(JunSun1+29)=6),JunSun1+29,""))</f>
        <v>42183</v>
      </c>
      <c r="C13" s="20">
        <f>IF(DAY(JunSun1)=1,IF(AND(YEAR(JunSun1+23)=연간_달력,MONTH(JunSun1+23)=6),JunSun1+23,""),IF(AND(YEAR(JunSun1+30)=연간_달력,MONTH(JunSun1+30)=6),JunSun1+30,""))</f>
        <v>42184</v>
      </c>
      <c r="D13" s="20">
        <f>IF(DAY(JunSun1)=1,IF(AND(YEAR(JunSun1+24)=연간_달력,MONTH(JunSun1+24)=6),JunSun1+24,""),IF(AND(YEAR(JunSun1+31)=연간_달력,MONTH(JunSun1+31)=6),JunSun1+31,""))</f>
        <v>42185</v>
      </c>
      <c r="E13" s="20" t="str">
        <f>IF(DAY(JunSun1)=1,IF(AND(YEAR(JunSun1+25)=연간_달력,MONTH(JunSun1+25)=6),JunSun1+25,""),IF(AND(YEAR(JunSun1+32)=연간_달력,MONTH(JunSun1+32)=6),JunSun1+32,""))</f>
        <v/>
      </c>
      <c r="F13" s="20" t="str">
        <f>IF(DAY(JunSun1)=1,IF(AND(YEAR(JunSun1+26)=연간_달력,MONTH(JunSun1+26)=6),JunSun1+26,""),IF(AND(YEAR(JunSun1+33)=연간_달력,MONTH(JunSun1+33)=6),JunSun1+33,""))</f>
        <v/>
      </c>
      <c r="G13" s="20" t="str">
        <f>IF(DAY(JunSun1)=1,IF(AND(YEAR(JunSun1+27)=연간_달력,MONTH(JunSun1+27)=6),JunSun1+27,""),IF(AND(YEAR(JunSun1+34)=연간_달력,MONTH(JunSun1+34)=6),JunSun1+34,""))</f>
        <v/>
      </c>
      <c r="H13" s="20" t="str">
        <f>IF(DAY(JunSun1)=1,IF(AND(YEAR(JunSun1+28)=연간_달력,MONTH(JunSun1+28)=6),JunSun1+28,""),IF(AND(YEAR(JunSun1+35)=연간_달력,MONTH(JunSun1+35)=6),JunSun1+35,""))</f>
        <v/>
      </c>
      <c r="I13" s="13"/>
    </row>
    <row r="14" spans="1:18" ht="64.5" customHeight="1">
      <c r="A14" s="6"/>
      <c r="B14" s="15"/>
      <c r="C14" s="15"/>
      <c r="D14" s="15"/>
      <c r="E14" s="15"/>
      <c r="F14" s="15"/>
      <c r="G14" s="16"/>
      <c r="H14" s="16"/>
      <c r="I14" s="13"/>
    </row>
    <row r="15" spans="1:18" ht="15" customHeight="1">
      <c r="A15" s="6"/>
      <c r="B15" s="21" t="str">
        <f>IF(DAY(JunSun1)=1,IF(AND(YEAR(JunSun1+29)=연간_달력,MONTH(JunSun1+29)=6),JunSun1+29,""),IF(AND(YEAR(JunSun1+36)=연간_달력,MONTH(JunSun1+36)=6),JunSun1+36,""))</f>
        <v/>
      </c>
      <c r="C15" s="22" t="str">
        <f>IF(DAY(JunSun1)=1,IF(AND(YEAR(JunSun1+30)=연간_달력,MONTH(JunSun1+30)=6),JunSun1+30,""),IF(AND(YEAR(JunSun1+37)=연간_달력,MONTH(JunSun1+37)=6),JunSun1+37,""))</f>
        <v/>
      </c>
      <c r="D15" s="31" t="s">
        <v>8</v>
      </c>
      <c r="E15" s="32"/>
      <c r="F15" s="32"/>
      <c r="G15" s="32"/>
      <c r="H15" s="33"/>
      <c r="I15" s="13"/>
    </row>
    <row r="16" spans="1:18" ht="64.5" customHeight="1">
      <c r="A16" s="6"/>
      <c r="B16" s="18"/>
      <c r="C16" s="18"/>
      <c r="D16" s="28"/>
      <c r="E16" s="29"/>
      <c r="F16" s="29"/>
      <c r="G16" s="29"/>
      <c r="H16" s="30"/>
      <c r="I16" s="13"/>
    </row>
    <row r="17" spans="3:5" ht="17.25" customHeight="1"/>
    <row r="19" spans="3:5" ht="21" customHeight="1">
      <c r="C19" s="23"/>
      <c r="D19" s="24"/>
      <c r="E19" s="25"/>
    </row>
    <row r="20" spans="3:5" ht="19.5" customHeight="1"/>
  </sheetData>
  <mergeCells count="3">
    <mergeCell ref="B3:F3"/>
    <mergeCell ref="D15:H15"/>
    <mergeCell ref="D16:H16"/>
  </mergeCells>
  <phoneticPr fontId="6" type="noConversion"/>
  <printOptions horizontalCentered="1" verticalCentered="1"/>
  <pageMargins left="0.2" right="0.2" top="0.25" bottom="0.25" header="0" footer="0"/>
  <pageSetup scale="93" orientation="landscape" r:id="rId1"/>
  <headerFooter scaleWithDoc="0"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0" tint="-0.34998626667073579"/>
    <pageSetUpPr fitToPage="1"/>
  </sheetPr>
  <dimension ref="A1:R20"/>
  <sheetViews>
    <sheetView showGridLines="0" topLeftCell="A4" zoomScaleNormal="100" workbookViewId="0">
      <selection activeCell="M10" sqref="A1:XFD1048576"/>
    </sheetView>
  </sheetViews>
  <sheetFormatPr defaultColWidth="6.6640625" defaultRowHeight="16.5"/>
  <cols>
    <col min="1" max="1" width="3.109375" style="1" customWidth="1"/>
    <col min="2" max="9" width="13.77734375" style="1" customWidth="1"/>
    <col min="10" max="10" width="12.6640625" style="1" customWidth="1"/>
    <col min="11" max="11" width="2.109375" style="1" customWidth="1"/>
    <col min="12" max="12" width="11.77734375" style="1" customWidth="1"/>
    <col min="13" max="13" width="11.33203125" style="1" customWidth="1"/>
    <col min="14" max="16384" width="6.6640625" style="1"/>
  </cols>
  <sheetData>
    <row r="1" spans="1:18" ht="14.25" customHeight="1">
      <c r="A1" s="6"/>
    </row>
    <row r="2" spans="1:18" ht="30" customHeight="1">
      <c r="A2" s="6"/>
      <c r="B2" s="4"/>
      <c r="C2" s="4"/>
      <c r="D2" s="4"/>
      <c r="E2" s="4"/>
      <c r="F2" s="4"/>
      <c r="G2" s="4"/>
      <c r="H2" s="4"/>
      <c r="I2" s="4"/>
      <c r="J2" s="4"/>
    </row>
    <row r="3" spans="1:18" ht="62.25" customHeight="1">
      <c r="A3" s="6"/>
      <c r="B3" s="34" t="str">
        <f>UPPER(TEXT(DATE(연간_달력,7,1),"yyyy년 mm월"))</f>
        <v>2015년 07월</v>
      </c>
      <c r="C3" s="34"/>
      <c r="D3" s="34"/>
      <c r="E3" s="34"/>
      <c r="F3" s="34"/>
    </row>
    <row r="4" spans="1:18" s="6" customFormat="1" ht="26.25" customHeight="1">
      <c r="B4" s="26" t="s">
        <v>7</v>
      </c>
      <c r="C4" s="9" t="s">
        <v>1</v>
      </c>
      <c r="D4" s="9" t="s">
        <v>2</v>
      </c>
      <c r="E4" s="9" t="s">
        <v>3</v>
      </c>
      <c r="F4" s="9" t="s">
        <v>4</v>
      </c>
      <c r="G4" s="9" t="s">
        <v>5</v>
      </c>
      <c r="H4" s="10" t="s">
        <v>6</v>
      </c>
      <c r="I4" s="1"/>
      <c r="J4" s="1"/>
      <c r="L4" s="1"/>
      <c r="M4" s="11"/>
      <c r="Q4" s="1"/>
      <c r="R4" s="1"/>
    </row>
    <row r="5" spans="1:18" s="6" customFormat="1" ht="15" customHeight="1">
      <c r="B5" s="12" t="str">
        <f>IF(DAY(JulSun1)=1,"",IF(AND(YEAR(JulSun1+1)=연간_달력,MONTH(JulSun1+1)=7),JulSun1+1,""))</f>
        <v/>
      </c>
      <c r="C5" s="12" t="str">
        <f>IF(DAY(JulSun1)=1,"",IF(AND(YEAR(JulSun1+2)=연간_달력,MONTH(JulSun1+2)=7),JulSun1+2,""))</f>
        <v/>
      </c>
      <c r="D5" s="12" t="str">
        <f>IF(DAY(JulSun1)=1,"",IF(AND(YEAR(JulSun1+3)=연간_달력,MONTH(JulSun1+3)=7),JulSun1+3,""))</f>
        <v/>
      </c>
      <c r="E5" s="12">
        <f>IF(DAY(JulSun1)=1,"",IF(AND(YEAR(JulSun1+4)=연간_달력,MONTH(JulSun1+4)=7),JulSun1+4,""))</f>
        <v>42186</v>
      </c>
      <c r="F5" s="12">
        <f>IF(DAY(JulSun1)=1,"",IF(AND(YEAR(JulSun1+5)=연간_달력,MONTH(JulSun1+5)=7),JulSun1+5,""))</f>
        <v>42187</v>
      </c>
      <c r="G5" s="12">
        <f>IF(DAY(JulSun1)=1,"",IF(AND(YEAR(JulSun1+6)=연간_달력,MONTH(JulSun1+6)=7),JulSun1+6,""))</f>
        <v>42188</v>
      </c>
      <c r="H5" s="12">
        <f>IF(DAY(JulSun1)=1,IF(AND(YEAR(JulSun1)=연간_달력,MONTH(JulSun1)=7),JulSun1,""),IF(AND(YEAR(JulSun1+7)=연간_달력,MONTH(JulSun1+7)=7),JulSun1+7,""))</f>
        <v>42189</v>
      </c>
      <c r="I5" s="13"/>
      <c r="K5" s="1"/>
      <c r="L5" s="1"/>
      <c r="M5" s="1"/>
      <c r="Q5" s="14"/>
      <c r="R5" s="1"/>
    </row>
    <row r="6" spans="1:18" s="14" customFormat="1" ht="64.5" customHeight="1">
      <c r="A6" s="6"/>
      <c r="B6" s="15"/>
      <c r="C6" s="15"/>
      <c r="D6" s="15"/>
      <c r="E6" s="15"/>
      <c r="F6" s="15"/>
      <c r="G6" s="16"/>
      <c r="H6" s="16"/>
      <c r="I6" s="13"/>
    </row>
    <row r="7" spans="1:18" ht="15" customHeight="1">
      <c r="A7" s="6"/>
      <c r="B7" s="17">
        <f>IF(DAY(JulSun1)=1,IF(AND(YEAR(JulSun1+1)=연간_달력,MONTH(JulSun1+1)=7),JulSun1+1,""),IF(AND(YEAR(JulSun1+8)=연간_달력,MONTH(JulSun1+8)=7),JulSun1+8,""))</f>
        <v>42190</v>
      </c>
      <c r="C7" s="17">
        <f>IF(DAY(JulSun1)=1,IF(AND(YEAR(JulSun1+2)=연간_달력,MONTH(JulSun1+2)=7),JulSun1+2,""),IF(AND(YEAR(JulSun1+9)=연간_달력,MONTH(JulSun1+9)=7),JulSun1+9,""))</f>
        <v>42191</v>
      </c>
      <c r="D7" s="17">
        <f>IF(DAY(JulSun1)=1,IF(AND(YEAR(JulSun1+3)=연간_달력,MONTH(JulSun1+3)=7),JulSun1+3,""),IF(AND(YEAR(JulSun1+10)=연간_달력,MONTH(JulSun1+10)=7),JulSun1+10,""))</f>
        <v>42192</v>
      </c>
      <c r="E7" s="17">
        <f>IF(DAY(JulSun1)=1,IF(AND(YEAR(JulSun1+4)=연간_달력,MONTH(JulSun1+4)=7),JulSun1+4,""),IF(AND(YEAR(JulSun1+11)=연간_달력,MONTH(JulSun1+11)=7),JulSun1+11,""))</f>
        <v>42193</v>
      </c>
      <c r="F7" s="17">
        <f>IF(DAY(JulSun1)=1,IF(AND(YEAR(JulSun1+5)=연간_달력,MONTH(JulSun1+5)=7),JulSun1+5,""),IF(AND(YEAR(JulSun1+12)=연간_달력,MONTH(JulSun1+12)=7),JulSun1+12,""))</f>
        <v>42194</v>
      </c>
      <c r="G7" s="17">
        <f>IF(DAY(JulSun1)=1,IF(AND(YEAR(JulSun1+6)=연간_달력,MONTH(JulSun1+6)=7),JulSun1+6,""),IF(AND(YEAR(JulSun1+13)=연간_달력,MONTH(JulSun1+13)=7),JulSun1+13,""))</f>
        <v>42195</v>
      </c>
      <c r="H7" s="17">
        <f>IF(DAY(JulSun1)=1,IF(AND(YEAR(JulSun1+7)=연간_달력,MONTH(JulSun1+7)=7),JulSun1+7,""),IF(AND(YEAR(JulSun1+14)=연간_달력,MONTH(JulSun1+14)=7),JulSun1+14,""))</f>
        <v>42196</v>
      </c>
      <c r="I7" s="13"/>
    </row>
    <row r="8" spans="1:18" ht="64.5" customHeight="1">
      <c r="A8" s="6"/>
      <c r="B8" s="18"/>
      <c r="C8" s="18"/>
      <c r="D8" s="18"/>
      <c r="E8" s="18"/>
      <c r="F8" s="18"/>
      <c r="G8" s="19"/>
      <c r="H8" s="19"/>
      <c r="I8" s="13"/>
    </row>
    <row r="9" spans="1:18" ht="15" customHeight="1">
      <c r="A9" s="6"/>
      <c r="B9" s="20">
        <f>IF(DAY(JulSun1)=1,IF(AND(YEAR(JulSun1+8)=연간_달력,MONTH(JulSun1+8)=7),JulSun1+8,""),IF(AND(YEAR(JulSun1+15)=연간_달력,MONTH(JulSun1+15)=7),JulSun1+15,""))</f>
        <v>42197</v>
      </c>
      <c r="C9" s="20">
        <f>IF(DAY(JulSun1)=1,IF(AND(YEAR(JulSun1+9)=연간_달력,MONTH(JulSun1+9)=7),JulSun1+9,""),IF(AND(YEAR(JulSun1+16)=연간_달력,MONTH(JulSun1+16)=7),JulSun1+16,""))</f>
        <v>42198</v>
      </c>
      <c r="D9" s="20">
        <f>IF(DAY(JulSun1)=1,IF(AND(YEAR(JulSun1+10)=연간_달력,MONTH(JulSun1+10)=7),JulSun1+10,""),IF(AND(YEAR(JulSun1+17)=연간_달력,MONTH(JulSun1+17)=7),JulSun1+17,""))</f>
        <v>42199</v>
      </c>
      <c r="E9" s="20">
        <f>IF(DAY(JulSun1)=1,IF(AND(YEAR(JulSun1+11)=연간_달력,MONTH(JulSun1+11)=7),JulSun1+11,""),IF(AND(YEAR(JulSun1+18)=연간_달력,MONTH(JulSun1+18)=7),JulSun1+18,""))</f>
        <v>42200</v>
      </c>
      <c r="F9" s="20">
        <f>IF(DAY(JulSun1)=1,IF(AND(YEAR(JulSun1+12)=연간_달력,MONTH(JulSun1+12)=7),JulSun1+12,""),IF(AND(YEAR(JulSun1+19)=연간_달력,MONTH(JulSun1+19)=7),JulSun1+19,""))</f>
        <v>42201</v>
      </c>
      <c r="G9" s="20">
        <f>IF(DAY(JulSun1)=1,IF(AND(YEAR(JulSun1+13)=연간_달력,MONTH(JulSun1+13)=7),JulSun1+13,""),IF(AND(YEAR(JulSun1+20)=연간_달력,MONTH(JulSun1+20)=7),JulSun1+20,""))</f>
        <v>42202</v>
      </c>
      <c r="H9" s="20">
        <f>IF(DAY(JulSun1)=1,IF(AND(YEAR(JulSun1+14)=연간_달력,MONTH(JulSun1+14)=7),JulSun1+14,""),IF(AND(YEAR(JulSun1+21)=연간_달력,MONTH(JulSun1+21)=7),JulSun1+21,""))</f>
        <v>42203</v>
      </c>
      <c r="I9" s="13"/>
    </row>
    <row r="10" spans="1:18" ht="64.5" customHeight="1">
      <c r="A10" s="6"/>
      <c r="B10" s="15"/>
      <c r="C10" s="15"/>
      <c r="D10" s="15"/>
      <c r="E10" s="15"/>
      <c r="F10" s="15"/>
      <c r="G10" s="16"/>
      <c r="H10" s="16"/>
      <c r="I10" s="13"/>
    </row>
    <row r="11" spans="1:18" ht="15" customHeight="1">
      <c r="A11" s="6"/>
      <c r="B11" s="21">
        <f>IF(DAY(JulSun1)=1,IF(AND(YEAR(JulSun1+15)=연간_달력,MONTH(JulSun1+15)=7),JulSun1+15,""),IF(AND(YEAR(JulSun1+22)=연간_달력,MONTH(JulSun1+22)=7),JulSun1+22,""))</f>
        <v>42204</v>
      </c>
      <c r="C11" s="21">
        <f>IF(DAY(JulSun1)=1,IF(AND(YEAR(JulSun1+16)=연간_달력,MONTH(JulSun1+16)=7),JulSun1+16,""),IF(AND(YEAR(JulSun1+23)=연간_달력,MONTH(JulSun1+23)=7),JulSun1+23,""))</f>
        <v>42205</v>
      </c>
      <c r="D11" s="21">
        <f>IF(DAY(JulSun1)=1,IF(AND(YEAR(JulSun1+17)=연간_달력,MONTH(JulSun1+17)=7),JulSun1+17,""),IF(AND(YEAR(JulSun1+24)=연간_달력,MONTH(JulSun1+24)=7),JulSun1+24,""))</f>
        <v>42206</v>
      </c>
      <c r="E11" s="21">
        <f>IF(DAY(JulSun1)=1,IF(AND(YEAR(JulSun1+18)=연간_달력,MONTH(JulSun1+18)=7),JulSun1+18,""),IF(AND(YEAR(JulSun1+25)=연간_달력,MONTH(JulSun1+25)=7),JulSun1+25,""))</f>
        <v>42207</v>
      </c>
      <c r="F11" s="21">
        <f>IF(DAY(JulSun1)=1,IF(AND(YEAR(JulSun1+19)=연간_달력,MONTH(JulSun1+19)=7),JulSun1+19,""),IF(AND(YEAR(JulSun1+26)=연간_달력,MONTH(JulSun1+26)=7),JulSun1+26,""))</f>
        <v>42208</v>
      </c>
      <c r="G11" s="21">
        <f>IF(DAY(JulSun1)=1,IF(AND(YEAR(JulSun1+20)=연간_달력,MONTH(JulSun1+20)=7),JulSun1+20,""),IF(AND(YEAR(JulSun1+27)=연간_달력,MONTH(JulSun1+27)=7),JulSun1+27,""))</f>
        <v>42209</v>
      </c>
      <c r="H11" s="21">
        <f>IF(DAY(JulSun1)=1,IF(AND(YEAR(JulSun1+21)=연간_달력,MONTH(JulSun1+21)=7),JulSun1+21,""),IF(AND(YEAR(JulSun1+28)=연간_달력,MONTH(JulSun1+28)=7),JulSun1+28,""))</f>
        <v>42210</v>
      </c>
      <c r="I11" s="13"/>
    </row>
    <row r="12" spans="1:18" ht="64.5" customHeight="1">
      <c r="A12" s="6"/>
      <c r="B12" s="18"/>
      <c r="C12" s="18"/>
      <c r="D12" s="18"/>
      <c r="E12" s="18"/>
      <c r="F12" s="18"/>
      <c r="G12" s="19"/>
      <c r="H12" s="19"/>
      <c r="I12" s="13"/>
    </row>
    <row r="13" spans="1:18" ht="15" customHeight="1">
      <c r="A13" s="6"/>
      <c r="B13" s="20">
        <f>IF(DAY(JulSun1)=1,IF(AND(YEAR(JulSun1+22)=연간_달력,MONTH(JulSun1+22)=7),JulSun1+22,""),IF(AND(YEAR(JulSun1+29)=연간_달력,MONTH(JulSun1+29)=7),JulSun1+29,""))</f>
        <v>42211</v>
      </c>
      <c r="C13" s="20">
        <f>IF(DAY(JulSun1)=1,IF(AND(YEAR(JulSun1+23)=연간_달력,MONTH(JulSun1+23)=7),JulSun1+23,""),IF(AND(YEAR(JulSun1+30)=연간_달력,MONTH(JulSun1+30)=7),JulSun1+30,""))</f>
        <v>42212</v>
      </c>
      <c r="D13" s="20">
        <f>IF(DAY(JulSun1)=1,IF(AND(YEAR(JulSun1+24)=연간_달력,MONTH(JulSun1+24)=7),JulSun1+24,""),IF(AND(YEAR(JulSun1+31)=연간_달력,MONTH(JulSun1+31)=7),JulSun1+31,""))</f>
        <v>42213</v>
      </c>
      <c r="E13" s="20">
        <f>IF(DAY(JulSun1)=1,IF(AND(YEAR(JulSun1+25)=연간_달력,MONTH(JulSun1+25)=7),JulSun1+25,""),IF(AND(YEAR(JulSun1+32)=연간_달력,MONTH(JulSun1+32)=7),JulSun1+32,""))</f>
        <v>42214</v>
      </c>
      <c r="F13" s="20">
        <f>IF(DAY(JulSun1)=1,IF(AND(YEAR(JulSun1+26)=연간_달력,MONTH(JulSun1+26)=7),JulSun1+26,""),IF(AND(YEAR(JulSun1+33)=연간_달력,MONTH(JulSun1+33)=7),JulSun1+33,""))</f>
        <v>42215</v>
      </c>
      <c r="G13" s="20">
        <f>IF(DAY(JulSun1)=1,IF(AND(YEAR(JulSun1+27)=연간_달력,MONTH(JulSun1+27)=7),JulSun1+27,""),IF(AND(YEAR(JulSun1+34)=연간_달력,MONTH(JulSun1+34)=7),JulSun1+34,""))</f>
        <v>42216</v>
      </c>
      <c r="H13" s="20" t="str">
        <f>IF(DAY(JulSun1)=1,IF(AND(YEAR(JulSun1+28)=연간_달력,MONTH(JulSun1+28)=7),JulSun1+28,""),IF(AND(YEAR(JulSun1+35)=연간_달력,MONTH(JulSun1+35)=7),JulSun1+35,""))</f>
        <v/>
      </c>
      <c r="I13" s="13"/>
    </row>
    <row r="14" spans="1:18" ht="64.5" customHeight="1">
      <c r="A14" s="6"/>
      <c r="B14" s="15"/>
      <c r="C14" s="15"/>
      <c r="D14" s="15"/>
      <c r="E14" s="15"/>
      <c r="F14" s="15"/>
      <c r="G14" s="16"/>
      <c r="H14" s="16"/>
      <c r="I14" s="13"/>
    </row>
    <row r="15" spans="1:18" ht="15" customHeight="1">
      <c r="A15" s="6"/>
      <c r="B15" s="21" t="str">
        <f>IF(DAY(JulSun1)=1,IF(AND(YEAR(JulSun1+29)=연간_달력,MONTH(JulSun1+29)=7),JulSun1+29,""),IF(AND(YEAR(JulSun1+36)=연간_달력,MONTH(JulSun1+36)=7),JulSun1+36,""))</f>
        <v/>
      </c>
      <c r="C15" s="22" t="str">
        <f>IF(DAY(JulSun1)=1,IF(AND(YEAR(JulSun1+30)=연간_달력,MONTH(JulSun1+30)=7),JulSun1+30,""),IF(AND(YEAR(JulSun1+37)=연간_달력,MONTH(JulSun1+37)=7),JulSun1+37,""))</f>
        <v/>
      </c>
      <c r="D15" s="31" t="s">
        <v>8</v>
      </c>
      <c r="E15" s="32"/>
      <c r="F15" s="32"/>
      <c r="G15" s="32"/>
      <c r="H15" s="33"/>
      <c r="I15" s="13"/>
    </row>
    <row r="16" spans="1:18" ht="64.5" customHeight="1">
      <c r="A16" s="6"/>
      <c r="B16" s="18"/>
      <c r="C16" s="18"/>
      <c r="D16" s="28"/>
      <c r="E16" s="29"/>
      <c r="F16" s="29"/>
      <c r="G16" s="29"/>
      <c r="H16" s="30"/>
      <c r="I16" s="13"/>
    </row>
    <row r="17" spans="3:5" ht="17.25" customHeight="1"/>
    <row r="19" spans="3:5" ht="21" customHeight="1">
      <c r="C19" s="23"/>
      <c r="D19" s="24"/>
      <c r="E19" s="25"/>
    </row>
    <row r="20" spans="3:5" ht="19.5" customHeight="1"/>
  </sheetData>
  <mergeCells count="3">
    <mergeCell ref="B3:F3"/>
    <mergeCell ref="D15:H15"/>
    <mergeCell ref="D16:H16"/>
  </mergeCells>
  <phoneticPr fontId="6" type="noConversion"/>
  <printOptions horizontalCentered="1" verticalCentered="1"/>
  <pageMargins left="0.2" right="0.2" top="0.25" bottom="0.25" header="0" footer="0"/>
  <pageSetup scale="93" orientation="landscape" r:id="rId1"/>
  <headerFooter scaleWithDoc="0"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0" tint="-0.249977111117893"/>
    <pageSetUpPr fitToPage="1"/>
  </sheetPr>
  <dimension ref="A1:R20"/>
  <sheetViews>
    <sheetView showGridLines="0" topLeftCell="A4" zoomScaleNormal="100" workbookViewId="0">
      <selection activeCell="L10" sqref="A1:XFD1048576"/>
    </sheetView>
  </sheetViews>
  <sheetFormatPr defaultColWidth="6.6640625" defaultRowHeight="16.5"/>
  <cols>
    <col min="1" max="1" width="3.109375" style="1" customWidth="1"/>
    <col min="2" max="9" width="13.77734375" style="1" customWidth="1"/>
    <col min="10" max="10" width="12.6640625" style="1" customWidth="1"/>
    <col min="11" max="11" width="2.109375" style="1" customWidth="1"/>
    <col min="12" max="12" width="11.77734375" style="1" customWidth="1"/>
    <col min="13" max="13" width="11.33203125" style="1" customWidth="1"/>
    <col min="14" max="16384" width="6.6640625" style="1"/>
  </cols>
  <sheetData>
    <row r="1" spans="1:18" ht="14.25" customHeight="1">
      <c r="A1" s="6"/>
    </row>
    <row r="2" spans="1:18" ht="30" customHeight="1">
      <c r="A2" s="6"/>
      <c r="B2" s="4"/>
      <c r="C2" s="4"/>
      <c r="D2" s="4"/>
      <c r="E2" s="4"/>
      <c r="F2" s="4"/>
      <c r="G2" s="4"/>
      <c r="H2" s="4"/>
      <c r="I2" s="4"/>
      <c r="J2" s="4"/>
    </row>
    <row r="3" spans="1:18" ht="62.25" customHeight="1">
      <c r="A3" s="6"/>
      <c r="B3" s="34" t="str">
        <f>UPPER(TEXT(DATE(연간_달력,8,1),"yyyy년 mm월"))</f>
        <v>2015년 08월</v>
      </c>
      <c r="C3" s="34"/>
      <c r="D3" s="34"/>
      <c r="E3" s="34"/>
      <c r="F3" s="34"/>
    </row>
    <row r="4" spans="1:18" s="6" customFormat="1" ht="26.25" customHeight="1">
      <c r="B4" s="26" t="s">
        <v>7</v>
      </c>
      <c r="C4" s="9" t="s">
        <v>1</v>
      </c>
      <c r="D4" s="9" t="s">
        <v>2</v>
      </c>
      <c r="E4" s="9" t="s">
        <v>3</v>
      </c>
      <c r="F4" s="9" t="s">
        <v>4</v>
      </c>
      <c r="G4" s="9" t="s">
        <v>5</v>
      </c>
      <c r="H4" s="10" t="s">
        <v>6</v>
      </c>
      <c r="I4" s="1"/>
      <c r="J4" s="1"/>
      <c r="L4" s="1"/>
      <c r="M4" s="11"/>
      <c r="Q4" s="1"/>
      <c r="R4" s="1"/>
    </row>
    <row r="5" spans="1:18" s="6" customFormat="1" ht="15" customHeight="1">
      <c r="B5" s="12" t="str">
        <f>IF(DAY(AugSun1)=1,"",IF(AND(YEAR(AugSun1+1)=연간_달력,MONTH(AugSun1+1)=8),AugSun1+1,""))</f>
        <v/>
      </c>
      <c r="C5" s="12" t="str">
        <f>IF(DAY(AugSun1)=1,"",IF(AND(YEAR(AugSun1+2)=연간_달력,MONTH(AugSun1+2)=8),AugSun1+2,""))</f>
        <v/>
      </c>
      <c r="D5" s="12" t="str">
        <f>IF(DAY(AugSun1)=1,"",IF(AND(YEAR(AugSun1+3)=연간_달력,MONTH(AugSun1+3)=8),AugSun1+3,""))</f>
        <v/>
      </c>
      <c r="E5" s="12" t="str">
        <f>IF(DAY(AugSun1)=1,"",IF(AND(YEAR(AugSun1+4)=연간_달력,MONTH(AugSun1+4)=8),AugSun1+4,""))</f>
        <v/>
      </c>
      <c r="F5" s="12" t="str">
        <f>IF(DAY(AugSun1)=1,"",IF(AND(YEAR(AugSun1+5)=연간_달력,MONTH(AugSun1+5)=8),AugSun1+5,""))</f>
        <v/>
      </c>
      <c r="G5" s="12" t="str">
        <f>IF(DAY(AugSun1)=1,"",IF(AND(YEAR(AugSun1+6)=연간_달력,MONTH(AugSun1+6)=8),AugSun1+6,""))</f>
        <v/>
      </c>
      <c r="H5" s="12">
        <f>IF(DAY(AugSun1)=1,IF(AND(YEAR(AugSun1)=연간_달력,MONTH(AugSun1)=8),AugSun1,""),IF(AND(YEAR(AugSun1+7)=연간_달력,MONTH(AugSun1+7)=8),AugSun1+7,""))</f>
        <v>42217</v>
      </c>
      <c r="I5" s="13"/>
      <c r="K5" s="1"/>
      <c r="L5" s="1"/>
      <c r="M5" s="1"/>
      <c r="Q5" s="14"/>
      <c r="R5" s="1"/>
    </row>
    <row r="6" spans="1:18" s="14" customFormat="1" ht="64.5" customHeight="1">
      <c r="A6" s="6"/>
      <c r="B6" s="15"/>
      <c r="C6" s="15"/>
      <c r="D6" s="15"/>
      <c r="E6" s="15"/>
      <c r="F6" s="15"/>
      <c r="G6" s="16"/>
      <c r="H6" s="16"/>
      <c r="I6" s="13"/>
    </row>
    <row r="7" spans="1:18" ht="15" customHeight="1">
      <c r="A7" s="6"/>
      <c r="B7" s="17">
        <f>IF(DAY(AugSun1)=1,IF(AND(YEAR(AugSun1+1)=연간_달력,MONTH(AugSun1+1)=8),AugSun1+1,""),IF(AND(YEAR(AugSun1+8)=연간_달력,MONTH(AugSun1+8)=8),AugSun1+8,""))</f>
        <v>42218</v>
      </c>
      <c r="C7" s="17">
        <f>IF(DAY(AugSun1)=1,IF(AND(YEAR(AugSun1+2)=연간_달력,MONTH(AugSun1+2)=8),AugSun1+2,""),IF(AND(YEAR(AugSun1+9)=연간_달력,MONTH(AugSun1+9)=8),AugSun1+9,""))</f>
        <v>42219</v>
      </c>
      <c r="D7" s="17">
        <f>IF(DAY(AugSun1)=1,IF(AND(YEAR(AugSun1+3)=연간_달력,MONTH(AugSun1+3)=8),AugSun1+3,""),IF(AND(YEAR(AugSun1+10)=연간_달력,MONTH(AugSun1+10)=8),AugSun1+10,""))</f>
        <v>42220</v>
      </c>
      <c r="E7" s="17">
        <f>IF(DAY(AugSun1)=1,IF(AND(YEAR(AugSun1+4)=연간_달력,MONTH(AugSun1+4)=8),AugSun1+4,""),IF(AND(YEAR(AugSun1+11)=연간_달력,MONTH(AugSun1+11)=8),AugSun1+11,""))</f>
        <v>42221</v>
      </c>
      <c r="F7" s="17">
        <f>IF(DAY(AugSun1)=1,IF(AND(YEAR(AugSun1+5)=연간_달력,MONTH(AugSun1+5)=8),AugSun1+5,""),IF(AND(YEAR(AugSun1+12)=연간_달력,MONTH(AugSun1+12)=8),AugSun1+12,""))</f>
        <v>42222</v>
      </c>
      <c r="G7" s="17">
        <f>IF(DAY(AugSun1)=1,IF(AND(YEAR(AugSun1+6)=연간_달력,MONTH(AugSun1+6)=8),AugSun1+6,""),IF(AND(YEAR(AugSun1+13)=연간_달력,MONTH(AugSun1+13)=8),AugSun1+13,""))</f>
        <v>42223</v>
      </c>
      <c r="H7" s="17">
        <f>IF(DAY(AugSun1)=1,IF(AND(YEAR(AugSun1+7)=연간_달력,MONTH(AugSun1+7)=8),AugSun1+7,""),IF(AND(YEAR(AugSun1+14)=연간_달력,MONTH(AugSun1+14)=8),AugSun1+14,""))</f>
        <v>42224</v>
      </c>
      <c r="I7" s="13"/>
    </row>
    <row r="8" spans="1:18" ht="64.5" customHeight="1">
      <c r="A8" s="6"/>
      <c r="B8" s="18"/>
      <c r="C8" s="18"/>
      <c r="D8" s="18"/>
      <c r="E8" s="18"/>
      <c r="F8" s="18"/>
      <c r="G8" s="19"/>
      <c r="H8" s="19"/>
      <c r="I8" s="13"/>
    </row>
    <row r="9" spans="1:18" ht="15" customHeight="1">
      <c r="A9" s="6"/>
      <c r="B9" s="20">
        <f>IF(DAY(AugSun1)=1,IF(AND(YEAR(AugSun1+8)=연간_달력,MONTH(AugSun1+8)=8),AugSun1+8,""),IF(AND(YEAR(AugSun1+15)=연간_달력,MONTH(AugSun1+15)=8),AugSun1+15,""))</f>
        <v>42225</v>
      </c>
      <c r="C9" s="20">
        <f>IF(DAY(AugSun1)=1,IF(AND(YEAR(AugSun1+9)=연간_달력,MONTH(AugSun1+9)=8),AugSun1+9,""),IF(AND(YEAR(AugSun1+16)=연간_달력,MONTH(AugSun1+16)=8),AugSun1+16,""))</f>
        <v>42226</v>
      </c>
      <c r="D9" s="20">
        <f>IF(DAY(AugSun1)=1,IF(AND(YEAR(AugSun1+10)=연간_달력,MONTH(AugSun1+10)=8),AugSun1+10,""),IF(AND(YEAR(AugSun1+17)=연간_달력,MONTH(AugSun1+17)=8),AugSun1+17,""))</f>
        <v>42227</v>
      </c>
      <c r="E9" s="20">
        <f>IF(DAY(AugSun1)=1,IF(AND(YEAR(AugSun1+11)=연간_달력,MONTH(AugSun1+11)=8),AugSun1+11,""),IF(AND(YEAR(AugSun1+18)=연간_달력,MONTH(AugSun1+18)=8),AugSun1+18,""))</f>
        <v>42228</v>
      </c>
      <c r="F9" s="20">
        <f>IF(DAY(AugSun1)=1,IF(AND(YEAR(AugSun1+12)=연간_달력,MONTH(AugSun1+12)=8),AugSun1+12,""),IF(AND(YEAR(AugSun1+19)=연간_달력,MONTH(AugSun1+19)=8),AugSun1+19,""))</f>
        <v>42229</v>
      </c>
      <c r="G9" s="20">
        <f>IF(DAY(AugSun1)=1,IF(AND(YEAR(AugSun1+13)=연간_달력,MONTH(AugSun1+13)=8),AugSun1+13,""),IF(AND(YEAR(AugSun1+20)=연간_달력,MONTH(AugSun1+20)=8),AugSun1+20,""))</f>
        <v>42230</v>
      </c>
      <c r="H9" s="20">
        <f>IF(DAY(AugSun1)=1,IF(AND(YEAR(AugSun1+14)=연간_달력,MONTH(AugSun1+14)=8),AugSun1+14,""),IF(AND(YEAR(AugSun1+21)=연간_달력,MONTH(AugSun1+21)=8),AugSun1+21,""))</f>
        <v>42231</v>
      </c>
      <c r="I9" s="13"/>
    </row>
    <row r="10" spans="1:18" ht="64.5" customHeight="1">
      <c r="A10" s="6"/>
      <c r="B10" s="15"/>
      <c r="C10" s="15"/>
      <c r="D10" s="15"/>
      <c r="E10" s="15"/>
      <c r="F10" s="15"/>
      <c r="G10" s="16"/>
      <c r="H10" s="16"/>
      <c r="I10" s="13"/>
    </row>
    <row r="11" spans="1:18" ht="15" customHeight="1">
      <c r="A11" s="6"/>
      <c r="B11" s="21">
        <f>IF(DAY(AugSun1)=1,IF(AND(YEAR(AugSun1+15)=연간_달력,MONTH(AugSun1+15)=8),AugSun1+15,""),IF(AND(YEAR(AugSun1+22)=연간_달력,MONTH(AugSun1+22)=8),AugSun1+22,""))</f>
        <v>42232</v>
      </c>
      <c r="C11" s="21">
        <f>IF(DAY(AugSun1)=1,IF(AND(YEAR(AugSun1+16)=연간_달력,MONTH(AugSun1+16)=8),AugSun1+16,""),IF(AND(YEAR(AugSun1+23)=연간_달력,MONTH(AugSun1+23)=8),AugSun1+23,""))</f>
        <v>42233</v>
      </c>
      <c r="D11" s="21">
        <f>IF(DAY(AugSun1)=1,IF(AND(YEAR(AugSun1+17)=연간_달력,MONTH(AugSun1+17)=8),AugSun1+17,""),IF(AND(YEAR(AugSun1+24)=연간_달력,MONTH(AugSun1+24)=8),AugSun1+24,""))</f>
        <v>42234</v>
      </c>
      <c r="E11" s="21">
        <f>IF(DAY(AugSun1)=1,IF(AND(YEAR(AugSun1+18)=연간_달력,MONTH(AugSun1+18)=8),AugSun1+18,""),IF(AND(YEAR(AugSun1+25)=연간_달력,MONTH(AugSun1+25)=8),AugSun1+25,""))</f>
        <v>42235</v>
      </c>
      <c r="F11" s="21">
        <f>IF(DAY(AugSun1)=1,IF(AND(YEAR(AugSun1+19)=연간_달력,MONTH(AugSun1+19)=8),AugSun1+19,""),IF(AND(YEAR(AugSun1+26)=연간_달력,MONTH(AugSun1+26)=8),AugSun1+26,""))</f>
        <v>42236</v>
      </c>
      <c r="G11" s="21">
        <f>IF(DAY(AugSun1)=1,IF(AND(YEAR(AugSun1+20)=연간_달력,MONTH(AugSun1+20)=8),AugSun1+20,""),IF(AND(YEAR(AugSun1+27)=연간_달력,MONTH(AugSun1+27)=8),AugSun1+27,""))</f>
        <v>42237</v>
      </c>
      <c r="H11" s="21">
        <f>IF(DAY(AugSun1)=1,IF(AND(YEAR(AugSun1+21)=연간_달력,MONTH(AugSun1+21)=8),AugSun1+21,""),IF(AND(YEAR(AugSun1+28)=연간_달력,MONTH(AugSun1+28)=8),AugSun1+28,""))</f>
        <v>42238</v>
      </c>
      <c r="I11" s="13"/>
    </row>
    <row r="12" spans="1:18" ht="64.5" customHeight="1">
      <c r="A12" s="6"/>
      <c r="B12" s="18"/>
      <c r="C12" s="18"/>
      <c r="D12" s="18"/>
      <c r="E12" s="18"/>
      <c r="F12" s="18"/>
      <c r="G12" s="19"/>
      <c r="H12" s="19"/>
      <c r="I12" s="13"/>
    </row>
    <row r="13" spans="1:18" ht="15" customHeight="1">
      <c r="A13" s="6"/>
      <c r="B13" s="20">
        <f>IF(DAY(AugSun1)=1,IF(AND(YEAR(AugSun1+22)=연간_달력,MONTH(AugSun1+22)=8),AugSun1+22,""),IF(AND(YEAR(AugSun1+29)=연간_달력,MONTH(AugSun1+29)=8),AugSun1+29,""))</f>
        <v>42239</v>
      </c>
      <c r="C13" s="20">
        <f>IF(DAY(AugSun1)=1,IF(AND(YEAR(AugSun1+23)=연간_달력,MONTH(AugSun1+23)=8),AugSun1+23,""),IF(AND(YEAR(AugSun1+30)=연간_달력,MONTH(AugSun1+30)=8),AugSun1+30,""))</f>
        <v>42240</v>
      </c>
      <c r="D13" s="20">
        <f>IF(DAY(AugSun1)=1,IF(AND(YEAR(AugSun1+24)=연간_달력,MONTH(AugSun1+24)=8),AugSun1+24,""),IF(AND(YEAR(AugSun1+31)=연간_달력,MONTH(AugSun1+31)=8),AugSun1+31,""))</f>
        <v>42241</v>
      </c>
      <c r="E13" s="20">
        <f>IF(DAY(AugSun1)=1,IF(AND(YEAR(AugSun1+25)=연간_달력,MONTH(AugSun1+25)=8),AugSun1+25,""),IF(AND(YEAR(AugSun1+32)=연간_달력,MONTH(AugSun1+32)=8),AugSun1+32,""))</f>
        <v>42242</v>
      </c>
      <c r="F13" s="20">
        <f>IF(DAY(AugSun1)=1,IF(AND(YEAR(AugSun1+26)=연간_달력,MONTH(AugSun1+26)=8),AugSun1+26,""),IF(AND(YEAR(AugSun1+33)=연간_달력,MONTH(AugSun1+33)=8),AugSun1+33,""))</f>
        <v>42243</v>
      </c>
      <c r="G13" s="20">
        <f>IF(DAY(AugSun1)=1,IF(AND(YEAR(AugSun1+27)=연간_달력,MONTH(AugSun1+27)=8),AugSun1+27,""),IF(AND(YEAR(AugSun1+34)=연간_달력,MONTH(AugSun1+34)=8),AugSun1+34,""))</f>
        <v>42244</v>
      </c>
      <c r="H13" s="20">
        <f>IF(DAY(AugSun1)=1,IF(AND(YEAR(AugSun1+28)=연간_달력,MONTH(AugSun1+28)=8),AugSun1+28,""),IF(AND(YEAR(AugSun1+35)=연간_달력,MONTH(AugSun1+35)=8),AugSun1+35,""))</f>
        <v>42245</v>
      </c>
      <c r="I13" s="13"/>
    </row>
    <row r="14" spans="1:18" ht="64.5" customHeight="1">
      <c r="A14" s="6"/>
      <c r="B14" s="15"/>
      <c r="C14" s="15"/>
      <c r="D14" s="15"/>
      <c r="E14" s="15"/>
      <c r="F14" s="15"/>
      <c r="G14" s="16"/>
      <c r="H14" s="16"/>
      <c r="I14" s="13"/>
    </row>
    <row r="15" spans="1:18" ht="15" customHeight="1">
      <c r="A15" s="6"/>
      <c r="B15" s="21">
        <f>IF(DAY(AugSun1)=1,IF(AND(YEAR(AugSun1+29)=연간_달력,MONTH(AugSun1+29)=8),AugSun1+29,""),IF(AND(YEAR(AugSun1+36)=연간_달력,MONTH(AugSun1+36)=8),AugSun1+36,""))</f>
        <v>42246</v>
      </c>
      <c r="C15" s="22">
        <f>IF(DAY(AugSun1)=1,IF(AND(YEAR(AugSun1+30)=연간_달력,MONTH(AugSun1+30)=8),AugSun1+30,""),IF(AND(YEAR(AugSun1+37)=연간_달력,MONTH(AugSun1+37)=8),AugSun1+37,""))</f>
        <v>42247</v>
      </c>
      <c r="D15" s="31" t="s">
        <v>8</v>
      </c>
      <c r="E15" s="32"/>
      <c r="F15" s="32"/>
      <c r="G15" s="32"/>
      <c r="H15" s="33"/>
      <c r="I15" s="13"/>
    </row>
    <row r="16" spans="1:18" ht="64.5" customHeight="1">
      <c r="A16" s="6"/>
      <c r="B16" s="18"/>
      <c r="C16" s="18"/>
      <c r="D16" s="28"/>
      <c r="E16" s="29"/>
      <c r="F16" s="29"/>
      <c r="G16" s="29"/>
      <c r="H16" s="30"/>
      <c r="I16" s="13"/>
    </row>
    <row r="17" spans="3:5" ht="17.25" customHeight="1"/>
    <row r="19" spans="3:5" ht="21" customHeight="1">
      <c r="C19" s="23"/>
      <c r="D19" s="24"/>
      <c r="E19" s="25"/>
    </row>
    <row r="20" spans="3:5" ht="19.5" customHeight="1"/>
  </sheetData>
  <mergeCells count="3">
    <mergeCell ref="B3:F3"/>
    <mergeCell ref="D15:H15"/>
    <mergeCell ref="D16:H16"/>
  </mergeCells>
  <phoneticPr fontId="6" type="noConversion"/>
  <printOptions horizontalCentered="1" verticalCentered="1"/>
  <pageMargins left="0.2" right="0.2" top="0.25" bottom="0.25" header="0" footer="0"/>
  <pageSetup scale="93" orientation="landscape" r:id="rId1"/>
  <headerFooter scaleWithDoc="0"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0" tint="-0.14999847407452621"/>
    <pageSetUpPr fitToPage="1"/>
  </sheetPr>
  <dimension ref="A1:R20"/>
  <sheetViews>
    <sheetView showGridLines="0" tabSelected="1" zoomScaleNormal="100" workbookViewId="0">
      <selection activeCell="H3" sqref="H3"/>
    </sheetView>
  </sheetViews>
  <sheetFormatPr defaultColWidth="6.6640625" defaultRowHeight="16.5"/>
  <cols>
    <col min="1" max="1" width="3.109375" style="1" customWidth="1"/>
    <col min="2" max="4" width="13.77734375" style="1" customWidth="1"/>
    <col min="5" max="5" width="13.77734375" style="41" customWidth="1"/>
    <col min="6" max="9" width="13.77734375" style="1" customWidth="1"/>
    <col min="10" max="10" width="12.6640625" style="1" customWidth="1"/>
    <col min="11" max="11" width="2.109375" style="1" customWidth="1"/>
    <col min="12" max="12" width="11.77734375" style="1" customWidth="1"/>
    <col min="13" max="13" width="11.33203125" style="1" customWidth="1"/>
    <col min="14" max="16384" width="6.6640625" style="1"/>
  </cols>
  <sheetData>
    <row r="1" spans="1:18" ht="14.25" customHeight="1">
      <c r="A1" s="40"/>
    </row>
    <row r="2" spans="1:18" ht="30" customHeight="1">
      <c r="A2" s="40"/>
      <c r="B2" s="35" t="s">
        <v>15</v>
      </c>
      <c r="C2" s="35"/>
      <c r="D2" s="35"/>
      <c r="E2" s="35"/>
      <c r="F2" s="35"/>
      <c r="G2" s="35"/>
      <c r="H2" s="35"/>
      <c r="I2" s="35"/>
      <c r="J2" s="35"/>
    </row>
    <row r="3" spans="1:18" ht="62.25" customHeight="1">
      <c r="A3" s="40"/>
      <c r="B3" s="39" t="str">
        <f>UPPER(TEXT(DATE(연간_달력,9,1),"yyyy년 mm월"))</f>
        <v>2015년 09월</v>
      </c>
      <c r="C3" s="39"/>
      <c r="D3" s="39"/>
      <c r="E3" s="39"/>
      <c r="F3" s="39"/>
    </row>
    <row r="4" spans="1:18" s="40" customFormat="1" ht="26.25" customHeight="1">
      <c r="B4" s="42" t="s">
        <v>7</v>
      </c>
      <c r="C4" s="43" t="s">
        <v>1</v>
      </c>
      <c r="D4" s="43" t="s">
        <v>2</v>
      </c>
      <c r="E4" s="44" t="s">
        <v>3</v>
      </c>
      <c r="F4" s="43" t="s">
        <v>4</v>
      </c>
      <c r="G4" s="43" t="s">
        <v>5</v>
      </c>
      <c r="H4" s="45" t="s">
        <v>6</v>
      </c>
      <c r="I4" s="1"/>
      <c r="J4" s="1"/>
      <c r="L4" s="1"/>
      <c r="M4" s="46"/>
      <c r="Q4" s="1"/>
      <c r="R4" s="1"/>
    </row>
    <row r="5" spans="1:18" s="40" customFormat="1" ht="15" customHeight="1">
      <c r="B5" s="47" t="str">
        <f>IF(DAY(SepSun1)=1,"",IF(AND(YEAR(SepSun1+1)=연간_달력,MONTH(SepSun1+1)=9),SepSun1+1,""))</f>
        <v/>
      </c>
      <c r="C5" s="47" t="str">
        <f>IF(DAY(SepSun1)=1,"",IF(AND(YEAR(SepSun1+2)=연간_달력,MONTH(SepSun1+2)=9),SepSun1+2,""))</f>
        <v/>
      </c>
      <c r="D5" s="47">
        <f>IF(DAY(SepSun1)=1,"",IF(AND(YEAR(SepSun1+3)=연간_달력,MONTH(SepSun1+3)=9),SepSun1+3,""))</f>
        <v>42248</v>
      </c>
      <c r="E5" s="48">
        <f>IF(DAY(SepSun1)=1,"",IF(AND(YEAR(SepSun1+4)=연간_달력,MONTH(SepSun1+4)=9),SepSun1+4,""))</f>
        <v>42249</v>
      </c>
      <c r="F5" s="47">
        <f>IF(DAY(SepSun1)=1,"",IF(AND(YEAR(SepSun1+5)=연간_달력,MONTH(SepSun1+5)=9),SepSun1+5,""))</f>
        <v>42250</v>
      </c>
      <c r="G5" s="47">
        <f>IF(DAY(SepSun1)=1,"",IF(AND(YEAR(SepSun1+6)=연간_달력,MONTH(SepSun1+6)=9),SepSun1+6,""))</f>
        <v>42251</v>
      </c>
      <c r="H5" s="47">
        <f>IF(DAY(SepSun1)=1,IF(AND(YEAR(SepSun1)=연간_달력,MONTH(SepSun1)=9),SepSun1,""),IF(AND(YEAR(SepSun1+7)=연간_달력,MONTH(SepSun1+7)=9),SepSun1+7,""))</f>
        <v>42252</v>
      </c>
      <c r="I5" s="49"/>
      <c r="K5" s="1"/>
      <c r="L5" s="1"/>
      <c r="M5" s="1"/>
      <c r="Q5" s="14"/>
      <c r="R5" s="1"/>
    </row>
    <row r="6" spans="1:18" s="14" customFormat="1" ht="64.5" customHeight="1">
      <c r="A6" s="40"/>
      <c r="B6" s="50"/>
      <c r="C6" s="50"/>
      <c r="D6" s="50"/>
      <c r="E6" s="51" t="s">
        <v>14</v>
      </c>
      <c r="F6" s="50"/>
      <c r="G6" s="52"/>
      <c r="H6" s="52"/>
      <c r="I6" s="49"/>
    </row>
    <row r="7" spans="1:18" ht="15" customHeight="1">
      <c r="A7" s="40"/>
      <c r="B7" s="77">
        <f>IF(DAY(SepSun1)=1,IF(AND(YEAR(SepSun1+1)=연간_달력,MONTH(SepSun1+1)=9),SepSun1+1,""),IF(AND(YEAR(SepSun1+8)=연간_달력,MONTH(SepSun1+8)=9),SepSun1+8,""))</f>
        <v>42253</v>
      </c>
      <c r="C7" s="53">
        <f>IF(DAY(SepSun1)=1,IF(AND(YEAR(SepSun1+2)=연간_달력,MONTH(SepSun1+2)=9),SepSun1+2,""),IF(AND(YEAR(SepSun1+9)=연간_달력,MONTH(SepSun1+9)=9),SepSun1+9,""))</f>
        <v>42254</v>
      </c>
      <c r="D7" s="53">
        <f>IF(DAY(SepSun1)=1,IF(AND(YEAR(SepSun1+3)=연간_달력,MONTH(SepSun1+3)=9),SepSun1+3,""),IF(AND(YEAR(SepSun1+10)=연간_달력,MONTH(SepSun1+10)=9),SepSun1+10,""))</f>
        <v>42255</v>
      </c>
      <c r="E7" s="54">
        <f>IF(DAY(SepSun1)=1,IF(AND(YEAR(SepSun1+4)=연간_달력,MONTH(SepSun1+4)=9),SepSun1+4,""),IF(AND(YEAR(SepSun1+11)=연간_달력,MONTH(SepSun1+11)=9),SepSun1+11,""))</f>
        <v>42256</v>
      </c>
      <c r="F7" s="53">
        <f>IF(DAY(SepSun1)=1,IF(AND(YEAR(SepSun1+5)=연간_달력,MONTH(SepSun1+5)=9),SepSun1+5,""),IF(AND(YEAR(SepSun1+12)=연간_달력,MONTH(SepSun1+12)=9),SepSun1+12,""))</f>
        <v>42257</v>
      </c>
      <c r="G7" s="53">
        <f>IF(DAY(SepSun1)=1,IF(AND(YEAR(SepSun1+6)=연간_달력,MONTH(SepSun1+6)=9),SepSun1+6,""),IF(AND(YEAR(SepSun1+13)=연간_달력,MONTH(SepSun1+13)=9),SepSun1+13,""))</f>
        <v>42258</v>
      </c>
      <c r="H7" s="53">
        <f>IF(DAY(SepSun1)=1,IF(AND(YEAR(SepSun1+7)=연간_달력,MONTH(SepSun1+7)=9),SepSun1+7,""),IF(AND(YEAR(SepSun1+14)=연간_달력,MONTH(SepSun1+14)=9),SepSun1+14,""))</f>
        <v>42259</v>
      </c>
      <c r="I7" s="49"/>
    </row>
    <row r="8" spans="1:18" ht="64.5" customHeight="1">
      <c r="A8" s="40"/>
      <c r="B8" s="55"/>
      <c r="C8" s="55"/>
      <c r="D8" s="55"/>
      <c r="E8" s="56" t="s">
        <v>9</v>
      </c>
      <c r="F8" s="55"/>
      <c r="G8" s="57"/>
      <c r="H8" s="57"/>
      <c r="I8" s="49"/>
    </row>
    <row r="9" spans="1:18" ht="15" customHeight="1">
      <c r="A9" s="40"/>
      <c r="B9" s="76">
        <f>IF(DAY(SepSun1)=1,IF(AND(YEAR(SepSun1+8)=연간_달력,MONTH(SepSun1+8)=9),SepSun1+8,""),IF(AND(YEAR(SepSun1+15)=연간_달력,MONTH(SepSun1+15)=9),SepSun1+15,""))</f>
        <v>42260</v>
      </c>
      <c r="C9" s="58">
        <f>IF(DAY(SepSun1)=1,IF(AND(YEAR(SepSun1+9)=연간_달력,MONTH(SepSun1+9)=9),SepSun1+9,""),IF(AND(YEAR(SepSun1+16)=연간_달력,MONTH(SepSun1+16)=9),SepSun1+16,""))</f>
        <v>42261</v>
      </c>
      <c r="D9" s="58">
        <f>IF(DAY(SepSun1)=1,IF(AND(YEAR(SepSun1+10)=연간_달력,MONTH(SepSun1+10)=9),SepSun1+10,""),IF(AND(YEAR(SepSun1+17)=연간_달력,MONTH(SepSun1+17)=9),SepSun1+17,""))</f>
        <v>42262</v>
      </c>
      <c r="E9" s="59">
        <f>IF(DAY(SepSun1)=1,IF(AND(YEAR(SepSun1+11)=연간_달력,MONTH(SepSun1+11)=9),SepSun1+11,""),IF(AND(YEAR(SepSun1+18)=연간_달력,MONTH(SepSun1+18)=9),SepSun1+18,""))</f>
        <v>42263</v>
      </c>
      <c r="F9" s="58">
        <f>IF(DAY(SepSun1)=1,IF(AND(YEAR(SepSun1+12)=연간_달력,MONTH(SepSun1+12)=9),SepSun1+12,""),IF(AND(YEAR(SepSun1+19)=연간_달력,MONTH(SepSun1+19)=9),SepSun1+19,""))</f>
        <v>42264</v>
      </c>
      <c r="G9" s="58">
        <f>IF(DAY(SepSun1)=1,IF(AND(YEAR(SepSun1+13)=연간_달력,MONTH(SepSun1+13)=9),SepSun1+13,""),IF(AND(YEAR(SepSun1+20)=연간_달력,MONTH(SepSun1+20)=9),SepSun1+20,""))</f>
        <v>42265</v>
      </c>
      <c r="H9" s="58">
        <f>IF(DAY(SepSun1)=1,IF(AND(YEAR(SepSun1+14)=연간_달력,MONTH(SepSun1+14)=9),SepSun1+14,""),IF(AND(YEAR(SepSun1+21)=연간_달력,MONTH(SepSun1+21)=9),SepSun1+21,""))</f>
        <v>42266</v>
      </c>
      <c r="I9" s="49"/>
    </row>
    <row r="10" spans="1:18" ht="64.5" customHeight="1">
      <c r="A10" s="40"/>
      <c r="B10" s="50"/>
      <c r="C10" s="50"/>
      <c r="D10" s="50"/>
      <c r="E10" s="27" t="s">
        <v>10</v>
      </c>
      <c r="F10" s="27" t="s">
        <v>13</v>
      </c>
      <c r="G10" s="52"/>
      <c r="H10" s="52"/>
      <c r="I10" s="49"/>
    </row>
    <row r="11" spans="1:18" ht="15" customHeight="1">
      <c r="A11" s="40"/>
      <c r="B11" s="75">
        <f>IF(DAY(SepSun1)=1,IF(AND(YEAR(SepSun1+15)=연간_달력,MONTH(SepSun1+15)=9),SepSun1+15,""),IF(AND(YEAR(SepSun1+22)=연간_달력,MONTH(SepSun1+22)=9),SepSun1+22,""))</f>
        <v>42267</v>
      </c>
      <c r="C11" s="60">
        <f>IF(DAY(SepSun1)=1,IF(AND(YEAR(SepSun1+16)=연간_달력,MONTH(SepSun1+16)=9),SepSun1+16,""),IF(AND(YEAR(SepSun1+23)=연간_달력,MONTH(SepSun1+23)=9),SepSun1+23,""))</f>
        <v>42268</v>
      </c>
      <c r="D11" s="60">
        <f>IF(DAY(SepSun1)=1,IF(AND(YEAR(SepSun1+17)=연간_달력,MONTH(SepSun1+17)=9),SepSun1+17,""),IF(AND(YEAR(SepSun1+24)=연간_달력,MONTH(SepSun1+24)=9),SepSun1+24,""))</f>
        <v>42269</v>
      </c>
      <c r="E11" s="61">
        <f>IF(DAY(SepSun1)=1,IF(AND(YEAR(SepSun1+18)=연간_달력,MONTH(SepSun1+18)=9),SepSun1+18,""),IF(AND(YEAR(SepSun1+25)=연간_달력,MONTH(SepSun1+25)=9),SepSun1+25,""))</f>
        <v>42270</v>
      </c>
      <c r="F11" s="60">
        <f>IF(DAY(SepSun1)=1,IF(AND(YEAR(SepSun1+19)=연간_달력,MONTH(SepSun1+19)=9),SepSun1+19,""),IF(AND(YEAR(SepSun1+26)=연간_달력,MONTH(SepSun1+26)=9),SepSun1+26,""))</f>
        <v>42271</v>
      </c>
      <c r="G11" s="60">
        <f>IF(DAY(SepSun1)=1,IF(AND(YEAR(SepSun1+20)=연간_달력,MONTH(SepSun1+20)=9),SepSun1+20,""),IF(AND(YEAR(SepSun1+27)=연간_달력,MONTH(SepSun1+27)=9),SepSun1+27,""))</f>
        <v>42272</v>
      </c>
      <c r="H11" s="75">
        <f>IF(DAY(SepSun1)=1,IF(AND(YEAR(SepSun1+21)=연간_달력,MONTH(SepSun1+21)=9),SepSun1+21,""),IF(AND(YEAR(SepSun1+28)=연간_달력,MONTH(SepSun1+28)=9),SepSun1+28,""))</f>
        <v>42273</v>
      </c>
      <c r="I11" s="49"/>
    </row>
    <row r="12" spans="1:18" ht="64.5" customHeight="1">
      <c r="A12" s="40"/>
      <c r="B12" s="55"/>
      <c r="C12" s="55"/>
      <c r="D12" s="55"/>
      <c r="E12" s="56" t="s">
        <v>11</v>
      </c>
      <c r="F12" s="55"/>
      <c r="G12" s="57"/>
      <c r="H12" s="62"/>
      <c r="I12" s="49"/>
    </row>
    <row r="13" spans="1:18" ht="15" customHeight="1">
      <c r="A13" s="40"/>
      <c r="B13" s="76">
        <f>IF(DAY(SepSun1)=1,IF(AND(YEAR(SepSun1+22)=연간_달력,MONTH(SepSun1+22)=9),SepSun1+22,""),IF(AND(YEAR(SepSun1+29)=연간_달력,MONTH(SepSun1+29)=9),SepSun1+29,""))</f>
        <v>42274</v>
      </c>
      <c r="C13" s="76">
        <f>IF(DAY(SepSun1)=1,IF(AND(YEAR(SepSun1+23)=연간_달력,MONTH(SepSun1+23)=9),SepSun1+23,""),IF(AND(YEAR(SepSun1+30)=연간_달력,MONTH(SepSun1+30)=9),SepSun1+30,""))</f>
        <v>42275</v>
      </c>
      <c r="D13" s="76">
        <f>IF(DAY(SepSun1)=1,IF(AND(YEAR(SepSun1+24)=연간_달력,MONTH(SepSun1+24)=9),SepSun1+24,""),IF(AND(YEAR(SepSun1+31)=연간_달력,MONTH(SepSun1+31)=9),SepSun1+31,""))</f>
        <v>42276</v>
      </c>
      <c r="E13" s="59">
        <f>IF(DAY(SepSun1)=1,IF(AND(YEAR(SepSun1+25)=연간_달력,MONTH(SepSun1+25)=9),SepSun1+25,""),IF(AND(YEAR(SepSun1+32)=연간_달력,MONTH(SepSun1+32)=9),SepSun1+32,""))</f>
        <v>42277</v>
      </c>
      <c r="F13" s="58" t="str">
        <f>IF(DAY(SepSun1)=1,IF(AND(YEAR(SepSun1+26)=연간_달력,MONTH(SepSun1+26)=9),SepSun1+26,""),IF(AND(YEAR(SepSun1+33)=연간_달력,MONTH(SepSun1+33)=9),SepSun1+33,""))</f>
        <v/>
      </c>
      <c r="G13" s="58" t="str">
        <f>IF(DAY(SepSun1)=1,IF(AND(YEAR(SepSun1+27)=연간_달력,MONTH(SepSun1+27)=9),SepSun1+27,""),IF(AND(YEAR(SepSun1+34)=연간_달력,MONTH(SepSun1+34)=9),SepSun1+34,""))</f>
        <v/>
      </c>
      <c r="H13" s="58" t="str">
        <f>IF(DAY(SepSun1)=1,IF(AND(YEAR(SepSun1+28)=연간_달력,MONTH(SepSun1+28)=9),SepSun1+28,""),IF(AND(YEAR(SepSun1+35)=연간_달력,MONTH(SepSun1+35)=9),SepSun1+35,""))</f>
        <v/>
      </c>
      <c r="I13" s="49"/>
    </row>
    <row r="14" spans="1:18" ht="64.5" customHeight="1">
      <c r="A14" s="40"/>
      <c r="B14" s="63"/>
      <c r="C14" s="50"/>
      <c r="D14" s="50"/>
      <c r="E14" s="64" t="s">
        <v>12</v>
      </c>
      <c r="F14" s="50"/>
      <c r="G14" s="52"/>
      <c r="H14" s="52"/>
      <c r="I14" s="49"/>
    </row>
    <row r="15" spans="1:18" ht="15" customHeight="1">
      <c r="A15" s="40"/>
      <c r="B15" s="60" t="str">
        <f>IF(DAY(SepSun1)=1,IF(AND(YEAR(SepSun1+29)=연간_달력,MONTH(SepSun1+29)=9),SepSun1+29,""),IF(AND(YEAR(SepSun1+36)=연간_달력,MONTH(SepSun1+36)=9),SepSun1+36,""))</f>
        <v/>
      </c>
      <c r="C15" s="65" t="str">
        <f>IF(DAY(SepSun1)=1,IF(AND(YEAR(SepSun1+30)=연간_달력,MONTH(SepSun1+30)=9),SepSun1+30,""),IF(AND(YEAR(SepSun1+37)=연간_달력,MONTH(SepSun1+37)=9),SepSun1+37,""))</f>
        <v/>
      </c>
      <c r="D15" s="66" t="s">
        <v>8</v>
      </c>
      <c r="E15" s="67"/>
      <c r="F15" s="67"/>
      <c r="G15" s="67"/>
      <c r="H15" s="68"/>
      <c r="I15" s="49"/>
    </row>
    <row r="16" spans="1:18" ht="64.5" customHeight="1">
      <c r="A16" s="40"/>
      <c r="B16" s="55"/>
      <c r="C16" s="55"/>
      <c r="D16" s="69"/>
      <c r="E16" s="70"/>
      <c r="F16" s="70"/>
      <c r="G16" s="70"/>
      <c r="H16" s="71"/>
      <c r="I16" s="49"/>
    </row>
    <row r="17" spans="3:5" ht="17.25" customHeight="1"/>
    <row r="19" spans="3:5" ht="21" customHeight="1">
      <c r="C19" s="72"/>
      <c r="D19" s="73"/>
      <c r="E19" s="74"/>
    </row>
    <row r="20" spans="3:5" ht="19.5" customHeight="1"/>
  </sheetData>
  <mergeCells count="4">
    <mergeCell ref="B3:F3"/>
    <mergeCell ref="D15:H15"/>
    <mergeCell ref="D16:H16"/>
    <mergeCell ref="B2:J2"/>
  </mergeCells>
  <phoneticPr fontId="6" type="noConversion"/>
  <printOptions horizontalCentered="1" verticalCentered="1"/>
  <pageMargins left="0.2" right="0.2" top="0.25" bottom="0.25" header="0" footer="0"/>
  <pageSetup scale="91" orientation="landscape" r:id="rId1"/>
  <headerFooter scaleWithDoc="0"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R20"/>
  <sheetViews>
    <sheetView showGridLines="0" topLeftCell="A4" zoomScaleNormal="100" workbookViewId="0">
      <selection activeCell="L11" sqref="A1:XFD1048576"/>
    </sheetView>
  </sheetViews>
  <sheetFormatPr defaultColWidth="6.6640625" defaultRowHeight="16.5"/>
  <cols>
    <col min="1" max="1" width="3.109375" style="1" customWidth="1"/>
    <col min="2" max="9" width="13.77734375" style="1" customWidth="1"/>
    <col min="10" max="10" width="12.6640625" style="1" customWidth="1"/>
    <col min="11" max="11" width="2.109375" style="1" customWidth="1"/>
    <col min="12" max="12" width="11.77734375" style="1" customWidth="1"/>
    <col min="13" max="13" width="11.33203125" style="1" customWidth="1"/>
    <col min="14" max="16384" width="6.6640625" style="1"/>
  </cols>
  <sheetData>
    <row r="1" spans="1:18" ht="14.25" customHeight="1">
      <c r="A1" s="6"/>
    </row>
    <row r="2" spans="1:18" ht="30" customHeight="1">
      <c r="A2" s="6"/>
      <c r="B2" s="4"/>
      <c r="C2" s="4"/>
      <c r="D2" s="4"/>
      <c r="E2" s="4"/>
      <c r="F2" s="4"/>
      <c r="G2" s="4"/>
      <c r="H2" s="4"/>
      <c r="I2" s="4"/>
      <c r="J2" s="4"/>
    </row>
    <row r="3" spans="1:18" ht="62.25" customHeight="1">
      <c r="A3" s="6"/>
      <c r="B3" s="34" t="str">
        <f>UPPER(TEXT(DATE(연간_달력,10,1),"yyyy년 mm월"))</f>
        <v>2015년 10월</v>
      </c>
      <c r="C3" s="34"/>
      <c r="D3" s="34"/>
      <c r="E3" s="34"/>
      <c r="F3" s="34"/>
    </row>
    <row r="4" spans="1:18" s="6" customFormat="1" ht="26.25" customHeight="1">
      <c r="B4" s="26" t="s">
        <v>7</v>
      </c>
      <c r="C4" s="9" t="s">
        <v>1</v>
      </c>
      <c r="D4" s="9" t="s">
        <v>2</v>
      </c>
      <c r="E4" s="9" t="s">
        <v>3</v>
      </c>
      <c r="F4" s="9" t="s">
        <v>4</v>
      </c>
      <c r="G4" s="9" t="s">
        <v>5</v>
      </c>
      <c r="H4" s="10" t="s">
        <v>6</v>
      </c>
      <c r="I4" s="1"/>
      <c r="J4" s="1"/>
      <c r="L4" s="1"/>
      <c r="M4" s="11"/>
      <c r="Q4" s="1"/>
      <c r="R4" s="1"/>
    </row>
    <row r="5" spans="1:18" s="6" customFormat="1" ht="15" customHeight="1">
      <c r="B5" s="12" t="str">
        <f>IF(DAY(OctSun1)=1,"",IF(AND(YEAR(OctSun1+1)=연간_달력,MONTH(OctSun1+1)=10),OctSun1+1,""))</f>
        <v/>
      </c>
      <c r="C5" s="12" t="str">
        <f>IF(DAY(OctSun1)=1,"",IF(AND(YEAR(OctSun1+2)=연간_달력,MONTH(OctSun1+2)=10),OctSun1+2,""))</f>
        <v/>
      </c>
      <c r="D5" s="12" t="str">
        <f>IF(DAY(OctSun1)=1,"",IF(AND(YEAR(OctSun1+3)=연간_달력,MONTH(OctSun1+3)=10),OctSun1+3,""))</f>
        <v/>
      </c>
      <c r="E5" s="12" t="str">
        <f>IF(DAY(OctSun1)=1,"",IF(AND(YEAR(OctSun1+4)=연간_달력,MONTH(OctSun1+4)=10),OctSun1+4,""))</f>
        <v/>
      </c>
      <c r="F5" s="12">
        <f>IF(DAY(OctSun1)=1,"",IF(AND(YEAR(OctSun1+5)=연간_달력,MONTH(OctSun1+5)=10),OctSun1+5,""))</f>
        <v>42278</v>
      </c>
      <c r="G5" s="12">
        <f>IF(DAY(OctSun1)=1,"",IF(AND(YEAR(OctSun1+6)=연간_달력,MONTH(OctSun1+6)=10),OctSun1+6,""))</f>
        <v>42279</v>
      </c>
      <c r="H5" s="12">
        <f>IF(DAY(OctSun1)=1,IF(AND(YEAR(OctSun1)=연간_달력,MONTH(OctSun1)=10),OctSun1,""),IF(AND(YEAR(OctSun1+7)=연간_달력,MONTH(OctSun1+7)=10),OctSun1+7,""))</f>
        <v>42280</v>
      </c>
      <c r="I5" s="13"/>
      <c r="K5" s="1"/>
      <c r="L5" s="1"/>
      <c r="M5" s="1"/>
      <c r="Q5" s="14"/>
      <c r="R5" s="1"/>
    </row>
    <row r="6" spans="1:18" s="14" customFormat="1" ht="64.5" customHeight="1">
      <c r="A6" s="6"/>
      <c r="B6" s="15"/>
      <c r="C6" s="15"/>
      <c r="D6" s="15"/>
      <c r="E6" s="15"/>
      <c r="F6" s="15"/>
      <c r="G6" s="16"/>
      <c r="H6" s="16"/>
      <c r="I6" s="13"/>
    </row>
    <row r="7" spans="1:18" ht="15" customHeight="1">
      <c r="A7" s="6"/>
      <c r="B7" s="17">
        <f>IF(DAY(OctSun1)=1,IF(AND(YEAR(OctSun1+1)=연간_달력,MONTH(OctSun1+1)=10),OctSun1+1,""),IF(AND(YEAR(OctSun1+8)=연간_달력,MONTH(OctSun1+8)=10),OctSun1+8,""))</f>
        <v>42281</v>
      </c>
      <c r="C7" s="17">
        <f>IF(DAY(OctSun1)=1,IF(AND(YEAR(OctSun1+2)=연간_달력,MONTH(OctSun1+2)=10),OctSun1+2,""),IF(AND(YEAR(OctSun1+9)=연간_달력,MONTH(OctSun1+9)=10),OctSun1+9,""))</f>
        <v>42282</v>
      </c>
      <c r="D7" s="17">
        <f>IF(DAY(OctSun1)=1,IF(AND(YEAR(OctSun1+3)=연간_달력,MONTH(OctSun1+3)=10),OctSun1+3,""),IF(AND(YEAR(OctSun1+10)=연간_달력,MONTH(OctSun1+10)=10),OctSun1+10,""))</f>
        <v>42283</v>
      </c>
      <c r="E7" s="17">
        <f>IF(DAY(OctSun1)=1,IF(AND(YEAR(OctSun1+4)=연간_달력,MONTH(OctSun1+4)=10),OctSun1+4,""),IF(AND(YEAR(OctSun1+11)=연간_달력,MONTH(OctSun1+11)=10),OctSun1+11,""))</f>
        <v>42284</v>
      </c>
      <c r="F7" s="17">
        <f>IF(DAY(OctSun1)=1,IF(AND(YEAR(OctSun1+5)=연간_달력,MONTH(OctSun1+5)=10),OctSun1+5,""),IF(AND(YEAR(OctSun1+12)=연간_달력,MONTH(OctSun1+12)=10),OctSun1+12,""))</f>
        <v>42285</v>
      </c>
      <c r="G7" s="17">
        <f>IF(DAY(OctSun1)=1,IF(AND(YEAR(OctSun1+6)=연간_달력,MONTH(OctSun1+6)=10),OctSun1+6,""),IF(AND(YEAR(OctSun1+13)=연간_달력,MONTH(OctSun1+13)=10),OctSun1+13,""))</f>
        <v>42286</v>
      </c>
      <c r="H7" s="17">
        <f>IF(DAY(OctSun1)=1,IF(AND(YEAR(OctSun1+7)=연간_달력,MONTH(OctSun1+7)=10),OctSun1+7,""),IF(AND(YEAR(OctSun1+14)=연간_달력,MONTH(OctSun1+14)=10),OctSun1+14,""))</f>
        <v>42287</v>
      </c>
      <c r="I7" s="13"/>
    </row>
    <row r="8" spans="1:18" ht="64.5" customHeight="1">
      <c r="A8" s="6"/>
      <c r="B8" s="18"/>
      <c r="C8" s="18"/>
      <c r="D8" s="18"/>
      <c r="E8" s="18"/>
      <c r="F8" s="18"/>
      <c r="G8" s="19"/>
      <c r="H8" s="19"/>
      <c r="I8" s="13"/>
    </row>
    <row r="9" spans="1:18" ht="15" customHeight="1">
      <c r="A9" s="6"/>
      <c r="B9" s="20">
        <f>IF(DAY(OctSun1)=1,IF(AND(YEAR(OctSun1+8)=연간_달력,MONTH(OctSun1+8)=10),OctSun1+8,""),IF(AND(YEAR(OctSun1+15)=연간_달력,MONTH(OctSun1+15)=10),OctSun1+15,""))</f>
        <v>42288</v>
      </c>
      <c r="C9" s="20">
        <f>IF(DAY(OctSun1)=1,IF(AND(YEAR(OctSun1+9)=연간_달력,MONTH(OctSun1+9)=10),OctSun1+9,""),IF(AND(YEAR(OctSun1+16)=연간_달력,MONTH(OctSun1+16)=10),OctSun1+16,""))</f>
        <v>42289</v>
      </c>
      <c r="D9" s="20">
        <f>IF(DAY(OctSun1)=1,IF(AND(YEAR(OctSun1+10)=연간_달력,MONTH(OctSun1+10)=10),OctSun1+10,""),IF(AND(YEAR(OctSun1+17)=연간_달력,MONTH(OctSun1+17)=10),OctSun1+17,""))</f>
        <v>42290</v>
      </c>
      <c r="E9" s="20">
        <f>IF(DAY(OctSun1)=1,IF(AND(YEAR(OctSun1+11)=연간_달력,MONTH(OctSun1+11)=10),OctSun1+11,""),IF(AND(YEAR(OctSun1+18)=연간_달력,MONTH(OctSun1+18)=10),OctSun1+18,""))</f>
        <v>42291</v>
      </c>
      <c r="F9" s="20">
        <f>IF(DAY(OctSun1)=1,IF(AND(YEAR(OctSun1+12)=연간_달력,MONTH(OctSun1+12)=10),OctSun1+12,""),IF(AND(YEAR(OctSun1+19)=연간_달력,MONTH(OctSun1+19)=10),OctSun1+19,""))</f>
        <v>42292</v>
      </c>
      <c r="G9" s="20">
        <f>IF(DAY(OctSun1)=1,IF(AND(YEAR(OctSun1+13)=연간_달력,MONTH(OctSun1+13)=10),OctSun1+13,""),IF(AND(YEAR(OctSun1+20)=연간_달력,MONTH(OctSun1+20)=10),OctSun1+20,""))</f>
        <v>42293</v>
      </c>
      <c r="H9" s="20">
        <f>IF(DAY(OctSun1)=1,IF(AND(YEAR(OctSun1+14)=연간_달력,MONTH(OctSun1+14)=10),OctSun1+14,""),IF(AND(YEAR(OctSun1+21)=연간_달력,MONTH(OctSun1+21)=10),OctSun1+21,""))</f>
        <v>42294</v>
      </c>
      <c r="I9" s="13"/>
    </row>
    <row r="10" spans="1:18" ht="64.5" customHeight="1">
      <c r="A10" s="6"/>
      <c r="B10" s="15"/>
      <c r="C10" s="15"/>
      <c r="D10" s="15"/>
      <c r="E10" s="15"/>
      <c r="F10" s="15"/>
      <c r="G10" s="16"/>
      <c r="H10" s="16"/>
      <c r="I10" s="13"/>
    </row>
    <row r="11" spans="1:18" ht="15" customHeight="1">
      <c r="A11" s="6"/>
      <c r="B11" s="21">
        <f>IF(DAY(OctSun1)=1,IF(AND(YEAR(OctSun1+15)=연간_달력,MONTH(OctSun1+15)=10),OctSun1+15,""),IF(AND(YEAR(OctSun1+22)=연간_달력,MONTH(OctSun1+22)=10),OctSun1+22,""))</f>
        <v>42295</v>
      </c>
      <c r="C11" s="21">
        <f>IF(DAY(OctSun1)=1,IF(AND(YEAR(OctSun1+16)=연간_달력,MONTH(OctSun1+16)=10),OctSun1+16,""),IF(AND(YEAR(OctSun1+23)=연간_달력,MONTH(OctSun1+23)=10),OctSun1+23,""))</f>
        <v>42296</v>
      </c>
      <c r="D11" s="21">
        <f>IF(DAY(OctSun1)=1,IF(AND(YEAR(OctSun1+17)=연간_달력,MONTH(OctSun1+17)=10),OctSun1+17,""),IF(AND(YEAR(OctSun1+24)=연간_달력,MONTH(OctSun1+24)=10),OctSun1+24,""))</f>
        <v>42297</v>
      </c>
      <c r="E11" s="21">
        <f>IF(DAY(OctSun1)=1,IF(AND(YEAR(OctSun1+18)=연간_달력,MONTH(OctSun1+18)=10),OctSun1+18,""),IF(AND(YEAR(OctSun1+25)=연간_달력,MONTH(OctSun1+25)=10),OctSun1+25,""))</f>
        <v>42298</v>
      </c>
      <c r="F11" s="21">
        <f>IF(DAY(OctSun1)=1,IF(AND(YEAR(OctSun1+19)=연간_달력,MONTH(OctSun1+19)=10),OctSun1+19,""),IF(AND(YEAR(OctSun1+26)=연간_달력,MONTH(OctSun1+26)=10),OctSun1+26,""))</f>
        <v>42299</v>
      </c>
      <c r="G11" s="21">
        <f>IF(DAY(OctSun1)=1,IF(AND(YEAR(OctSun1+20)=연간_달력,MONTH(OctSun1+20)=10),OctSun1+20,""),IF(AND(YEAR(OctSun1+27)=연간_달력,MONTH(OctSun1+27)=10),OctSun1+27,""))</f>
        <v>42300</v>
      </c>
      <c r="H11" s="21">
        <f>IF(DAY(OctSun1)=1,IF(AND(YEAR(OctSun1+21)=연간_달력,MONTH(OctSun1+21)=10),OctSun1+21,""),IF(AND(YEAR(OctSun1+28)=연간_달력,MONTH(OctSun1+28)=10),OctSun1+28,""))</f>
        <v>42301</v>
      </c>
      <c r="I11" s="13"/>
    </row>
    <row r="12" spans="1:18" ht="64.5" customHeight="1">
      <c r="A12" s="6"/>
      <c r="B12" s="18"/>
      <c r="C12" s="18"/>
      <c r="D12" s="18"/>
      <c r="E12" s="18"/>
      <c r="F12" s="18"/>
      <c r="G12" s="19"/>
      <c r="H12" s="19"/>
      <c r="I12" s="13"/>
    </row>
    <row r="13" spans="1:18" ht="15" customHeight="1">
      <c r="A13" s="6"/>
      <c r="B13" s="20">
        <f>IF(DAY(OctSun1)=1,IF(AND(YEAR(OctSun1+22)=연간_달력,MONTH(OctSun1+22)=10),OctSun1+22,""),IF(AND(YEAR(OctSun1+29)=연간_달력,MONTH(OctSun1+29)=10),OctSun1+29,""))</f>
        <v>42302</v>
      </c>
      <c r="C13" s="20">
        <f>IF(DAY(OctSun1)=1,IF(AND(YEAR(OctSun1+23)=연간_달력,MONTH(OctSun1+23)=10),OctSun1+23,""),IF(AND(YEAR(OctSun1+30)=연간_달력,MONTH(OctSun1+30)=10),OctSun1+30,""))</f>
        <v>42303</v>
      </c>
      <c r="D13" s="20">
        <f>IF(DAY(OctSun1)=1,IF(AND(YEAR(OctSun1+24)=연간_달력,MONTH(OctSun1+24)=10),OctSun1+24,""),IF(AND(YEAR(OctSun1+31)=연간_달력,MONTH(OctSun1+31)=10),OctSun1+31,""))</f>
        <v>42304</v>
      </c>
      <c r="E13" s="20">
        <f>IF(DAY(OctSun1)=1,IF(AND(YEAR(OctSun1+25)=연간_달력,MONTH(OctSun1+25)=10),OctSun1+25,""),IF(AND(YEAR(OctSun1+32)=연간_달력,MONTH(OctSun1+32)=10),OctSun1+32,""))</f>
        <v>42305</v>
      </c>
      <c r="F13" s="20">
        <f>IF(DAY(OctSun1)=1,IF(AND(YEAR(OctSun1+26)=연간_달력,MONTH(OctSun1+26)=10),OctSun1+26,""),IF(AND(YEAR(OctSun1+33)=연간_달력,MONTH(OctSun1+33)=10),OctSun1+33,""))</f>
        <v>42306</v>
      </c>
      <c r="G13" s="20">
        <f>IF(DAY(OctSun1)=1,IF(AND(YEAR(OctSun1+27)=연간_달력,MONTH(OctSun1+27)=10),OctSun1+27,""),IF(AND(YEAR(OctSun1+34)=연간_달력,MONTH(OctSun1+34)=10),OctSun1+34,""))</f>
        <v>42307</v>
      </c>
      <c r="H13" s="20">
        <f>IF(DAY(OctSun1)=1,IF(AND(YEAR(OctSun1+28)=연간_달력,MONTH(OctSun1+28)=10),OctSun1+28,""),IF(AND(YEAR(OctSun1+35)=연간_달력,MONTH(OctSun1+35)=10),OctSun1+35,""))</f>
        <v>42308</v>
      </c>
      <c r="I13" s="13"/>
    </row>
    <row r="14" spans="1:18" ht="64.5" customHeight="1">
      <c r="A14" s="6"/>
      <c r="B14" s="15"/>
      <c r="C14" s="15"/>
      <c r="D14" s="15"/>
      <c r="E14" s="15"/>
      <c r="F14" s="15"/>
      <c r="G14" s="16"/>
      <c r="H14" s="16"/>
      <c r="I14" s="13"/>
    </row>
    <row r="15" spans="1:18" ht="15" customHeight="1">
      <c r="A15" s="6"/>
      <c r="B15" s="21" t="str">
        <f>IF(DAY(OctSun1)=1,IF(AND(YEAR(OctSun1+29)=연간_달력,MONTH(OctSun1+29)=10),OctSun1+29,""),IF(AND(YEAR(OctSun1+36)=연간_달력,MONTH(OctSun1+36)=10),OctSun1+36,""))</f>
        <v/>
      </c>
      <c r="C15" s="22" t="str">
        <f>IF(DAY(OctSun1)=1,IF(AND(YEAR(OctSun1+30)=연간_달력,MONTH(OctSun1+30)=10),OctSun1+30,""),IF(AND(YEAR(OctSun1+37)=연간_달력,MONTH(OctSun1+37)=10),OctSun1+37,""))</f>
        <v/>
      </c>
      <c r="D15" s="31" t="s">
        <v>8</v>
      </c>
      <c r="E15" s="32"/>
      <c r="F15" s="32"/>
      <c r="G15" s="32"/>
      <c r="H15" s="33"/>
      <c r="I15" s="13"/>
    </row>
    <row r="16" spans="1:18" ht="64.5" customHeight="1">
      <c r="A16" s="6"/>
      <c r="B16" s="18"/>
      <c r="C16" s="18"/>
      <c r="D16" s="28"/>
      <c r="E16" s="29"/>
      <c r="F16" s="29"/>
      <c r="G16" s="29"/>
      <c r="H16" s="30"/>
      <c r="I16" s="13"/>
    </row>
    <row r="17" spans="3:5" ht="17.25" customHeight="1"/>
    <row r="19" spans="3:5" ht="21" customHeight="1">
      <c r="C19" s="23"/>
      <c r="D19" s="24"/>
      <c r="E19" s="25"/>
    </row>
    <row r="20" spans="3:5" ht="19.5" customHeight="1"/>
  </sheetData>
  <mergeCells count="3">
    <mergeCell ref="B3:F3"/>
    <mergeCell ref="D15:H15"/>
    <mergeCell ref="D16:H16"/>
  </mergeCells>
  <phoneticPr fontId="6" type="noConversion"/>
  <printOptions horizontalCentered="1" verticalCentered="1"/>
  <pageMargins left="0.2" right="0.2" top="0.25" bottom="0.25" header="0" footer="0"/>
  <pageSetup scale="93" orientation="landscape" r:id="rId1"/>
  <headerFooter scaleWithDoc="0"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0" tint="-0.499984740745262"/>
    <pageSetUpPr fitToPage="1"/>
  </sheetPr>
  <dimension ref="A1:R20"/>
  <sheetViews>
    <sheetView showGridLines="0" topLeftCell="A4" zoomScaleNormal="100" workbookViewId="0">
      <selection activeCell="L14" sqref="L14"/>
    </sheetView>
  </sheetViews>
  <sheetFormatPr defaultColWidth="6.6640625" defaultRowHeight="16.5"/>
  <cols>
    <col min="1" max="1" width="3.109375" style="1" customWidth="1"/>
    <col min="2" max="9" width="13.77734375" style="1" customWidth="1"/>
    <col min="10" max="10" width="12.6640625" style="1" customWidth="1"/>
    <col min="11" max="11" width="2.109375" style="1" customWidth="1"/>
    <col min="12" max="12" width="11.77734375" style="1" customWidth="1"/>
    <col min="13" max="13" width="11.33203125" style="1" customWidth="1"/>
    <col min="14" max="16384" width="6.6640625" style="1"/>
  </cols>
  <sheetData>
    <row r="1" spans="1:18" ht="14.25" customHeight="1">
      <c r="A1" s="6"/>
    </row>
    <row r="2" spans="1:18" ht="30" customHeight="1">
      <c r="A2" s="6"/>
      <c r="B2" s="4"/>
      <c r="C2" s="4"/>
      <c r="D2" s="4"/>
      <c r="E2" s="4"/>
      <c r="F2" s="4"/>
      <c r="G2" s="4"/>
      <c r="H2" s="4"/>
      <c r="I2" s="4"/>
      <c r="J2" s="4"/>
    </row>
    <row r="3" spans="1:18" ht="62.25" customHeight="1">
      <c r="A3" s="6"/>
      <c r="B3" s="34" t="str">
        <f>UPPER(TEXT(DATE(연간_달력,11,1),"yyyy년 mm월"))</f>
        <v>2015년 11월</v>
      </c>
      <c r="C3" s="34"/>
      <c r="D3" s="34"/>
      <c r="E3" s="34"/>
      <c r="F3" s="34"/>
    </row>
    <row r="4" spans="1:18" s="6" customFormat="1" ht="26.25" customHeight="1">
      <c r="B4" s="26" t="s">
        <v>7</v>
      </c>
      <c r="C4" s="9" t="s">
        <v>1</v>
      </c>
      <c r="D4" s="9" t="s">
        <v>2</v>
      </c>
      <c r="E4" s="9" t="s">
        <v>3</v>
      </c>
      <c r="F4" s="9" t="s">
        <v>4</v>
      </c>
      <c r="G4" s="9" t="s">
        <v>5</v>
      </c>
      <c r="H4" s="10" t="s">
        <v>6</v>
      </c>
      <c r="I4" s="1"/>
      <c r="J4" s="1"/>
      <c r="L4" s="1"/>
      <c r="M4" s="11"/>
      <c r="Q4" s="1"/>
      <c r="R4" s="1"/>
    </row>
    <row r="5" spans="1:18" s="6" customFormat="1" ht="15" customHeight="1">
      <c r="B5" s="12">
        <f>IF(DAY(NovSun1)=1,"",IF(AND(YEAR(NovSun1+1)=연간_달력,MONTH(NovSun1+1)=11),NovSun1+1,""))</f>
        <v>42309</v>
      </c>
      <c r="C5" s="12">
        <f>IF(DAY(NovSun1)=1,"",IF(AND(YEAR(NovSun1+2)=연간_달력,MONTH(NovSun1+2)=11),NovSun1+2,""))</f>
        <v>42310</v>
      </c>
      <c r="D5" s="12">
        <f>IF(DAY(NovSun1)=1,"",IF(AND(YEAR(NovSun1+3)=연간_달력,MONTH(NovSun1+3)=11),NovSun1+3,""))</f>
        <v>42311</v>
      </c>
      <c r="E5" s="12">
        <f>IF(DAY(NovSun1)=1,"",IF(AND(YEAR(NovSun1+4)=연간_달력,MONTH(NovSun1+4)=11),NovSun1+4,""))</f>
        <v>42312</v>
      </c>
      <c r="F5" s="12">
        <f>IF(DAY(NovSun1)=1,"",IF(AND(YEAR(NovSun1+5)=연간_달력,MONTH(NovSun1+5)=11),NovSun1+5,""))</f>
        <v>42313</v>
      </c>
      <c r="G5" s="12">
        <f>IF(DAY(NovSun1)=1,"",IF(AND(YEAR(NovSun1+6)=연간_달력,MONTH(NovSun1+6)=11),NovSun1+6,""))</f>
        <v>42314</v>
      </c>
      <c r="H5" s="12">
        <f>IF(DAY(NovSun1)=1,IF(AND(YEAR(NovSun1)=연간_달력,MONTH(NovSun1)=11),NovSun1,""),IF(AND(YEAR(NovSun1+7)=연간_달력,MONTH(NovSun1+7)=11),NovSun1+7,""))</f>
        <v>42315</v>
      </c>
      <c r="I5" s="13"/>
      <c r="K5" s="1"/>
      <c r="L5" s="1"/>
      <c r="M5" s="1"/>
      <c r="Q5" s="14"/>
      <c r="R5" s="1"/>
    </row>
    <row r="6" spans="1:18" s="14" customFormat="1" ht="64.5" customHeight="1">
      <c r="A6" s="6"/>
      <c r="B6" s="15"/>
      <c r="C6" s="15"/>
      <c r="D6" s="15"/>
      <c r="E6" s="15"/>
      <c r="F6" s="15"/>
      <c r="G6" s="16"/>
      <c r="H6" s="16"/>
      <c r="I6" s="13"/>
    </row>
    <row r="7" spans="1:18" ht="15" customHeight="1">
      <c r="A7" s="6"/>
      <c r="B7" s="17">
        <f>IF(DAY(NovSun1)=1,IF(AND(YEAR(NovSun1+1)=연간_달력,MONTH(NovSun1+1)=11),NovSun1+1,""),IF(AND(YEAR(NovSun1+8)=연간_달력,MONTH(NovSun1+8)=11),NovSun1+8,""))</f>
        <v>42316</v>
      </c>
      <c r="C7" s="17">
        <f>IF(DAY(NovSun1)=1,IF(AND(YEAR(NovSun1+2)=연간_달력,MONTH(NovSun1+2)=11),NovSun1+2,""),IF(AND(YEAR(NovSun1+9)=연간_달력,MONTH(NovSun1+9)=11),NovSun1+9,""))</f>
        <v>42317</v>
      </c>
      <c r="D7" s="17">
        <f>IF(DAY(NovSun1)=1,IF(AND(YEAR(NovSun1+3)=연간_달력,MONTH(NovSun1+3)=11),NovSun1+3,""),IF(AND(YEAR(NovSun1+10)=연간_달력,MONTH(NovSun1+10)=11),NovSun1+10,""))</f>
        <v>42318</v>
      </c>
      <c r="E7" s="17">
        <f>IF(DAY(NovSun1)=1,IF(AND(YEAR(NovSun1+4)=연간_달력,MONTH(NovSun1+4)=11),NovSun1+4,""),IF(AND(YEAR(NovSun1+11)=연간_달력,MONTH(NovSun1+11)=11),NovSun1+11,""))</f>
        <v>42319</v>
      </c>
      <c r="F7" s="17">
        <f>IF(DAY(NovSun1)=1,IF(AND(YEAR(NovSun1+5)=연간_달력,MONTH(NovSun1+5)=11),NovSun1+5,""),IF(AND(YEAR(NovSun1+12)=연간_달력,MONTH(NovSun1+12)=11),NovSun1+12,""))</f>
        <v>42320</v>
      </c>
      <c r="G7" s="17">
        <f>IF(DAY(NovSun1)=1,IF(AND(YEAR(NovSun1+6)=연간_달력,MONTH(NovSun1+6)=11),NovSun1+6,""),IF(AND(YEAR(NovSun1+13)=연간_달력,MONTH(NovSun1+13)=11),NovSun1+13,""))</f>
        <v>42321</v>
      </c>
      <c r="H7" s="17">
        <f>IF(DAY(NovSun1)=1,IF(AND(YEAR(NovSun1+7)=연간_달력,MONTH(NovSun1+7)=11),NovSun1+7,""),IF(AND(YEAR(NovSun1+14)=연간_달력,MONTH(NovSun1+14)=11),NovSun1+14,""))</f>
        <v>42322</v>
      </c>
      <c r="I7" s="13"/>
    </row>
    <row r="8" spans="1:18" ht="64.5" customHeight="1">
      <c r="A8" s="6"/>
      <c r="B8" s="18"/>
      <c r="C8" s="18"/>
      <c r="D8" s="18"/>
      <c r="E8" s="18"/>
      <c r="F8" s="18"/>
      <c r="G8" s="19"/>
      <c r="H8" s="19"/>
      <c r="I8" s="13"/>
    </row>
    <row r="9" spans="1:18" ht="15" customHeight="1">
      <c r="A9" s="6"/>
      <c r="B9" s="20">
        <f>IF(DAY(NovSun1)=1,IF(AND(YEAR(NovSun1+8)=연간_달력,MONTH(NovSun1+8)=11),NovSun1+8,""),IF(AND(YEAR(NovSun1+15)=연간_달력,MONTH(NovSun1+15)=11),NovSun1+15,""))</f>
        <v>42323</v>
      </c>
      <c r="C9" s="20">
        <f>IF(DAY(NovSun1)=1,IF(AND(YEAR(NovSun1+9)=연간_달력,MONTH(NovSun1+9)=11),NovSun1+9,""),IF(AND(YEAR(NovSun1+16)=연간_달력,MONTH(NovSun1+16)=11),NovSun1+16,""))</f>
        <v>42324</v>
      </c>
      <c r="D9" s="20">
        <f>IF(DAY(NovSun1)=1,IF(AND(YEAR(NovSun1+10)=연간_달력,MONTH(NovSun1+10)=11),NovSun1+10,""),IF(AND(YEAR(NovSun1+17)=연간_달력,MONTH(NovSun1+17)=11),NovSun1+17,""))</f>
        <v>42325</v>
      </c>
      <c r="E9" s="20">
        <f>IF(DAY(NovSun1)=1,IF(AND(YEAR(NovSun1+11)=연간_달력,MONTH(NovSun1+11)=11),NovSun1+11,""),IF(AND(YEAR(NovSun1+18)=연간_달력,MONTH(NovSun1+18)=11),NovSun1+18,""))</f>
        <v>42326</v>
      </c>
      <c r="F9" s="20">
        <f>IF(DAY(NovSun1)=1,IF(AND(YEAR(NovSun1+12)=연간_달력,MONTH(NovSun1+12)=11),NovSun1+12,""),IF(AND(YEAR(NovSun1+19)=연간_달력,MONTH(NovSun1+19)=11),NovSun1+19,""))</f>
        <v>42327</v>
      </c>
      <c r="G9" s="20">
        <f>IF(DAY(NovSun1)=1,IF(AND(YEAR(NovSun1+13)=연간_달력,MONTH(NovSun1+13)=11),NovSun1+13,""),IF(AND(YEAR(NovSun1+20)=연간_달력,MONTH(NovSun1+20)=11),NovSun1+20,""))</f>
        <v>42328</v>
      </c>
      <c r="H9" s="20">
        <f>IF(DAY(NovSun1)=1,IF(AND(YEAR(NovSun1+14)=연간_달력,MONTH(NovSun1+14)=11),NovSun1+14,""),IF(AND(YEAR(NovSun1+21)=연간_달력,MONTH(NovSun1+21)=11),NovSun1+21,""))</f>
        <v>42329</v>
      </c>
      <c r="I9" s="13"/>
    </row>
    <row r="10" spans="1:18" ht="64.5" customHeight="1">
      <c r="A10" s="6"/>
      <c r="B10" s="15"/>
      <c r="C10" s="15"/>
      <c r="D10" s="15"/>
      <c r="E10" s="15"/>
      <c r="F10" s="15"/>
      <c r="G10" s="16"/>
      <c r="H10" s="16"/>
      <c r="I10" s="13"/>
    </row>
    <row r="11" spans="1:18" ht="15" customHeight="1">
      <c r="A11" s="6"/>
      <c r="B11" s="21">
        <f>IF(DAY(NovSun1)=1,IF(AND(YEAR(NovSun1+15)=연간_달력,MONTH(NovSun1+15)=11),NovSun1+15,""),IF(AND(YEAR(NovSun1+22)=연간_달력,MONTH(NovSun1+22)=11),NovSun1+22,""))</f>
        <v>42330</v>
      </c>
      <c r="C11" s="21">
        <f>IF(DAY(NovSun1)=1,IF(AND(YEAR(NovSun1+16)=연간_달력,MONTH(NovSun1+16)=11),NovSun1+16,""),IF(AND(YEAR(NovSun1+23)=연간_달력,MONTH(NovSun1+23)=11),NovSun1+23,""))</f>
        <v>42331</v>
      </c>
      <c r="D11" s="21">
        <f>IF(DAY(NovSun1)=1,IF(AND(YEAR(NovSun1+17)=연간_달력,MONTH(NovSun1+17)=11),NovSun1+17,""),IF(AND(YEAR(NovSun1+24)=연간_달력,MONTH(NovSun1+24)=11),NovSun1+24,""))</f>
        <v>42332</v>
      </c>
      <c r="E11" s="21">
        <f>IF(DAY(NovSun1)=1,IF(AND(YEAR(NovSun1+18)=연간_달력,MONTH(NovSun1+18)=11),NovSun1+18,""),IF(AND(YEAR(NovSun1+25)=연간_달력,MONTH(NovSun1+25)=11),NovSun1+25,""))</f>
        <v>42333</v>
      </c>
      <c r="F11" s="21">
        <f>IF(DAY(NovSun1)=1,IF(AND(YEAR(NovSun1+19)=연간_달력,MONTH(NovSun1+19)=11),NovSun1+19,""),IF(AND(YEAR(NovSun1+26)=연간_달력,MONTH(NovSun1+26)=11),NovSun1+26,""))</f>
        <v>42334</v>
      </c>
      <c r="G11" s="21">
        <f>IF(DAY(NovSun1)=1,IF(AND(YEAR(NovSun1+20)=연간_달력,MONTH(NovSun1+20)=11),NovSun1+20,""),IF(AND(YEAR(NovSun1+27)=연간_달력,MONTH(NovSun1+27)=11),NovSun1+27,""))</f>
        <v>42335</v>
      </c>
      <c r="H11" s="21">
        <f>IF(DAY(NovSun1)=1,IF(AND(YEAR(NovSun1+21)=연간_달력,MONTH(NovSun1+21)=11),NovSun1+21,""),IF(AND(YEAR(NovSun1+28)=연간_달력,MONTH(NovSun1+28)=11),NovSun1+28,""))</f>
        <v>42336</v>
      </c>
      <c r="I11" s="13"/>
    </row>
    <row r="12" spans="1:18" ht="64.5" customHeight="1">
      <c r="A12" s="6"/>
      <c r="B12" s="18"/>
      <c r="C12" s="18"/>
      <c r="D12" s="18"/>
      <c r="E12" s="18"/>
      <c r="F12" s="18"/>
      <c r="G12" s="19"/>
      <c r="H12" s="19"/>
      <c r="I12" s="13"/>
    </row>
    <row r="13" spans="1:18" ht="15" customHeight="1">
      <c r="A13" s="6"/>
      <c r="B13" s="20">
        <f>IF(DAY(NovSun1)=1,IF(AND(YEAR(NovSun1+22)=연간_달력,MONTH(NovSun1+22)=11),NovSun1+22,""),IF(AND(YEAR(NovSun1+29)=연간_달력,MONTH(NovSun1+29)=11),NovSun1+29,""))</f>
        <v>42337</v>
      </c>
      <c r="C13" s="20">
        <f>IF(DAY(NovSun1)=1,IF(AND(YEAR(NovSun1+23)=연간_달력,MONTH(NovSun1+23)=11),NovSun1+23,""),IF(AND(YEAR(NovSun1+30)=연간_달력,MONTH(NovSun1+30)=11),NovSun1+30,""))</f>
        <v>42338</v>
      </c>
      <c r="D13" s="20" t="str">
        <f>IF(DAY(NovSun1)=1,IF(AND(YEAR(NovSun1+24)=연간_달력,MONTH(NovSun1+24)=11),NovSun1+24,""),IF(AND(YEAR(NovSun1+31)=연간_달력,MONTH(NovSun1+31)=11),NovSun1+31,""))</f>
        <v/>
      </c>
      <c r="E13" s="20" t="str">
        <f>IF(DAY(NovSun1)=1,IF(AND(YEAR(NovSun1+25)=연간_달력,MONTH(NovSun1+25)=11),NovSun1+25,""),IF(AND(YEAR(NovSun1+32)=연간_달력,MONTH(NovSun1+32)=11),NovSun1+32,""))</f>
        <v/>
      </c>
      <c r="F13" s="20" t="str">
        <f>IF(DAY(NovSun1)=1,IF(AND(YEAR(NovSun1+26)=연간_달력,MONTH(NovSun1+26)=11),NovSun1+26,""),IF(AND(YEAR(NovSun1+33)=연간_달력,MONTH(NovSun1+33)=11),NovSun1+33,""))</f>
        <v/>
      </c>
      <c r="G13" s="20" t="str">
        <f>IF(DAY(NovSun1)=1,IF(AND(YEAR(NovSun1+27)=연간_달력,MONTH(NovSun1+27)=11),NovSun1+27,""),IF(AND(YEAR(NovSun1+34)=연간_달력,MONTH(NovSun1+34)=11),NovSun1+34,""))</f>
        <v/>
      </c>
      <c r="H13" s="20" t="str">
        <f>IF(DAY(NovSun1)=1,IF(AND(YEAR(NovSun1+28)=연간_달력,MONTH(NovSun1+28)=11),NovSun1+28,""),IF(AND(YEAR(NovSun1+35)=연간_달력,MONTH(NovSun1+35)=11),NovSun1+35,""))</f>
        <v/>
      </c>
      <c r="I13" s="13"/>
    </row>
    <row r="14" spans="1:18" ht="64.5" customHeight="1">
      <c r="A14" s="6"/>
      <c r="B14" s="15"/>
      <c r="C14" s="15"/>
      <c r="D14" s="15"/>
      <c r="E14" s="15"/>
      <c r="F14" s="15"/>
      <c r="G14" s="16"/>
      <c r="H14" s="16"/>
      <c r="I14" s="13"/>
    </row>
    <row r="15" spans="1:18" ht="15" customHeight="1">
      <c r="A15" s="6"/>
      <c r="B15" s="21" t="str">
        <f>IF(DAY(NovSun1)=1,IF(AND(YEAR(NovSun1+29)=연간_달력,MONTH(NovSun1+29)=11),NovSun1+29,""),IF(AND(YEAR(NovSun1+36)=연간_달력,MONTH(NovSun1+36)=11),NovSun1+36,""))</f>
        <v/>
      </c>
      <c r="C15" s="22" t="str">
        <f>IF(DAY(NovSun1)=1,IF(AND(YEAR(NovSun1+30)=연간_달력,MONTH(NovSun1+30)=11),NovSun1+30,""),IF(AND(YEAR(NovSun1+37)=연간_달력,MONTH(NovSun1+37)=11),NovSun1+37,""))</f>
        <v/>
      </c>
      <c r="D15" s="31" t="s">
        <v>8</v>
      </c>
      <c r="E15" s="32"/>
      <c r="F15" s="32"/>
      <c r="G15" s="32"/>
      <c r="H15" s="33"/>
      <c r="I15" s="13"/>
    </row>
    <row r="16" spans="1:18" ht="64.5" customHeight="1">
      <c r="A16" s="6"/>
      <c r="B16" s="18"/>
      <c r="C16" s="18"/>
      <c r="D16" s="28"/>
      <c r="E16" s="29"/>
      <c r="F16" s="29"/>
      <c r="G16" s="29"/>
      <c r="H16" s="30"/>
      <c r="I16" s="13"/>
    </row>
    <row r="17" spans="3:5" ht="17.25" customHeight="1"/>
    <row r="19" spans="3:5" ht="21" customHeight="1">
      <c r="C19" s="23"/>
      <c r="D19" s="24"/>
      <c r="E19" s="25"/>
    </row>
    <row r="20" spans="3:5" ht="19.5" customHeight="1"/>
  </sheetData>
  <mergeCells count="3">
    <mergeCell ref="B3:F3"/>
    <mergeCell ref="D15:H15"/>
    <mergeCell ref="D16:H16"/>
  </mergeCells>
  <phoneticPr fontId="6" type="noConversion"/>
  <printOptions horizontalCentered="1" verticalCentered="1"/>
  <pageMargins left="0.2" right="0.2" top="0.25" bottom="0.25" header="0" footer="0"/>
  <pageSetup scale="93" orientation="landscape" r:id="rId1"/>
  <headerFooter scaleWithDoc="0"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0" tint="-0.34998626667073579"/>
    <pageSetUpPr fitToPage="1"/>
  </sheetPr>
  <dimension ref="A1:R20"/>
  <sheetViews>
    <sheetView showGridLines="0" topLeftCell="A4" zoomScaleNormal="100" workbookViewId="0">
      <selection activeCell="M16" sqref="M16"/>
    </sheetView>
  </sheetViews>
  <sheetFormatPr defaultColWidth="6.6640625" defaultRowHeight="16.5"/>
  <cols>
    <col min="1" max="1" width="3.109375" style="1" customWidth="1"/>
    <col min="2" max="9" width="13.77734375" style="1" customWidth="1"/>
    <col min="10" max="10" width="12.6640625" style="1" customWidth="1"/>
    <col min="11" max="11" width="2.109375" style="1" customWidth="1"/>
    <col min="12" max="12" width="11.77734375" style="1" customWidth="1"/>
    <col min="13" max="13" width="11.33203125" style="1" customWidth="1"/>
    <col min="14" max="16384" width="6.6640625" style="1"/>
  </cols>
  <sheetData>
    <row r="1" spans="1:18" ht="14.25" customHeight="1">
      <c r="A1" s="6"/>
    </row>
    <row r="2" spans="1:18" ht="30" customHeight="1">
      <c r="A2" s="6"/>
      <c r="B2" s="4"/>
      <c r="C2" s="4"/>
      <c r="D2" s="4"/>
      <c r="E2" s="4"/>
      <c r="F2" s="4"/>
      <c r="G2" s="4"/>
      <c r="H2" s="4"/>
      <c r="I2" s="4"/>
      <c r="J2" s="4"/>
    </row>
    <row r="3" spans="1:18" ht="62.25" customHeight="1">
      <c r="A3" s="6"/>
      <c r="B3" s="34" t="str">
        <f>UPPER(TEXT(DATE(연간_달력,12,1),"yyyy년 mm월"))</f>
        <v>2015년 12월</v>
      </c>
      <c r="C3" s="34"/>
      <c r="D3" s="34"/>
      <c r="E3" s="34"/>
      <c r="F3" s="34"/>
    </row>
    <row r="4" spans="1:18" s="6" customFormat="1" ht="26.25" customHeight="1">
      <c r="B4" s="26" t="s">
        <v>7</v>
      </c>
      <c r="C4" s="9" t="s">
        <v>1</v>
      </c>
      <c r="D4" s="9" t="s">
        <v>2</v>
      </c>
      <c r="E4" s="9" t="s">
        <v>3</v>
      </c>
      <c r="F4" s="9" t="s">
        <v>4</v>
      </c>
      <c r="G4" s="9" t="s">
        <v>5</v>
      </c>
      <c r="H4" s="10" t="s">
        <v>6</v>
      </c>
      <c r="I4" s="1"/>
      <c r="J4" s="1"/>
      <c r="L4" s="1"/>
      <c r="M4" s="11"/>
      <c r="Q4" s="1"/>
      <c r="R4" s="1"/>
    </row>
    <row r="5" spans="1:18" s="6" customFormat="1" ht="15" customHeight="1">
      <c r="B5" s="12" t="str">
        <f>IF(DAY(DecSun1)=1,"",IF(AND(YEAR(DecSun1+1)=연간_달력,MONTH(DecSun1+1)=12),DecSun1+1,""))</f>
        <v/>
      </c>
      <c r="C5" s="12" t="str">
        <f>IF(DAY(DecSun1)=1,"",IF(AND(YEAR(DecSun1+2)=연간_달력,MONTH(DecSun1+2)=12),DecSun1+2,""))</f>
        <v/>
      </c>
      <c r="D5" s="12">
        <f>IF(DAY(DecSun1)=1,"",IF(AND(YEAR(DecSun1+3)=연간_달력,MONTH(DecSun1+3)=12),DecSun1+3,""))</f>
        <v>42339</v>
      </c>
      <c r="E5" s="12">
        <f>IF(DAY(DecSun1)=1,"",IF(AND(YEAR(DecSun1+4)=연간_달력,MONTH(DecSun1+4)=12),DecSun1+4,""))</f>
        <v>42340</v>
      </c>
      <c r="F5" s="12">
        <f>IF(DAY(DecSun1)=1,"",IF(AND(YEAR(DecSun1+5)=연간_달력,MONTH(DecSun1+5)=12),DecSun1+5,""))</f>
        <v>42341</v>
      </c>
      <c r="G5" s="12">
        <f>IF(DAY(DecSun1)=1,"",IF(AND(YEAR(DecSun1+6)=연간_달력,MONTH(DecSun1+6)=12),DecSun1+6,""))</f>
        <v>42342</v>
      </c>
      <c r="H5" s="12">
        <f>IF(DAY(DecSun1)=1,IF(AND(YEAR(DecSun1)=연간_달력,MONTH(DecSun1)=12),DecSun1,""),IF(AND(YEAR(DecSun1+7)=연간_달력,MONTH(DecSun1+7)=12),DecSun1+7,""))</f>
        <v>42343</v>
      </c>
      <c r="I5" s="13"/>
      <c r="K5" s="1"/>
      <c r="L5" s="1"/>
      <c r="M5" s="1"/>
      <c r="Q5" s="14"/>
      <c r="R5" s="1"/>
    </row>
    <row r="6" spans="1:18" s="14" customFormat="1" ht="64.5" customHeight="1">
      <c r="A6" s="6"/>
      <c r="B6" s="15"/>
      <c r="C6" s="15"/>
      <c r="D6" s="15"/>
      <c r="E6" s="15"/>
      <c r="F6" s="15"/>
      <c r="G6" s="16"/>
      <c r="H6" s="16"/>
      <c r="I6" s="13"/>
    </row>
    <row r="7" spans="1:18" ht="15" customHeight="1">
      <c r="A7" s="6"/>
      <c r="B7" s="17">
        <f>IF(DAY(DecSun1)=1,IF(AND(YEAR(DecSun1+1)=연간_달력,MONTH(DecSun1+1)=12),DecSun1+1,""),IF(AND(YEAR(DecSun1+8)=연간_달력,MONTH(DecSun1+8)=12),DecSun1+8,""))</f>
        <v>42344</v>
      </c>
      <c r="C7" s="17">
        <f>IF(DAY(DecSun1)=1,IF(AND(YEAR(DecSun1+2)=연간_달력,MONTH(DecSun1+2)=12),DecSun1+2,""),IF(AND(YEAR(DecSun1+9)=연간_달력,MONTH(DecSun1+9)=12),DecSun1+9,""))</f>
        <v>42345</v>
      </c>
      <c r="D7" s="17">
        <f>IF(DAY(DecSun1)=1,IF(AND(YEAR(DecSun1+3)=연간_달력,MONTH(DecSun1+3)=12),DecSun1+3,""),IF(AND(YEAR(DecSun1+10)=연간_달력,MONTH(DecSun1+10)=12),DecSun1+10,""))</f>
        <v>42346</v>
      </c>
      <c r="E7" s="17">
        <f>IF(DAY(DecSun1)=1,IF(AND(YEAR(DecSun1+4)=연간_달력,MONTH(DecSun1+4)=12),DecSun1+4,""),IF(AND(YEAR(DecSun1+11)=연간_달력,MONTH(DecSun1+11)=12),DecSun1+11,""))</f>
        <v>42347</v>
      </c>
      <c r="F7" s="17">
        <f>IF(DAY(DecSun1)=1,IF(AND(YEAR(DecSun1+5)=연간_달력,MONTH(DecSun1+5)=12),DecSun1+5,""),IF(AND(YEAR(DecSun1+12)=연간_달력,MONTH(DecSun1+12)=12),DecSun1+12,""))</f>
        <v>42348</v>
      </c>
      <c r="G7" s="17">
        <f>IF(DAY(DecSun1)=1,IF(AND(YEAR(DecSun1+6)=연간_달력,MONTH(DecSun1+6)=12),DecSun1+6,""),IF(AND(YEAR(DecSun1+13)=연간_달력,MONTH(DecSun1+13)=12),DecSun1+13,""))</f>
        <v>42349</v>
      </c>
      <c r="H7" s="17">
        <f>IF(DAY(DecSun1)=1,IF(AND(YEAR(DecSun1+7)=연간_달력,MONTH(DecSun1+7)=12),DecSun1+7,""),IF(AND(YEAR(DecSun1+14)=연간_달력,MONTH(DecSun1+14)=12),DecSun1+14,""))</f>
        <v>42350</v>
      </c>
      <c r="I7" s="13"/>
    </row>
    <row r="8" spans="1:18" ht="64.5" customHeight="1">
      <c r="A8" s="6"/>
      <c r="B8" s="18"/>
      <c r="C8" s="18"/>
      <c r="D8" s="18"/>
      <c r="E8" s="18"/>
      <c r="F8" s="18"/>
      <c r="G8" s="19"/>
      <c r="H8" s="19"/>
      <c r="I8" s="13"/>
    </row>
    <row r="9" spans="1:18" ht="15" customHeight="1">
      <c r="A9" s="6"/>
      <c r="B9" s="20">
        <f>IF(DAY(DecSun1)=1,IF(AND(YEAR(DecSun1+8)=연간_달력,MONTH(DecSun1+8)=12),DecSun1+8,""),IF(AND(YEAR(DecSun1+15)=연간_달력,MONTH(DecSun1+15)=12),DecSun1+15,""))</f>
        <v>42351</v>
      </c>
      <c r="C9" s="20">
        <f>IF(DAY(DecSun1)=1,IF(AND(YEAR(DecSun1+9)=연간_달력,MONTH(DecSun1+9)=12),DecSun1+9,""),IF(AND(YEAR(DecSun1+16)=연간_달력,MONTH(DecSun1+16)=12),DecSun1+16,""))</f>
        <v>42352</v>
      </c>
      <c r="D9" s="20">
        <f>IF(DAY(DecSun1)=1,IF(AND(YEAR(DecSun1+10)=연간_달력,MONTH(DecSun1+10)=12),DecSun1+10,""),IF(AND(YEAR(DecSun1+17)=연간_달력,MONTH(DecSun1+17)=12),DecSun1+17,""))</f>
        <v>42353</v>
      </c>
      <c r="E9" s="20">
        <f>IF(DAY(DecSun1)=1,IF(AND(YEAR(DecSun1+11)=연간_달력,MONTH(DecSun1+11)=12),DecSun1+11,""),IF(AND(YEAR(DecSun1+18)=연간_달력,MONTH(DecSun1+18)=12),DecSun1+18,""))</f>
        <v>42354</v>
      </c>
      <c r="F9" s="20">
        <f>IF(DAY(DecSun1)=1,IF(AND(YEAR(DecSun1+12)=연간_달력,MONTH(DecSun1+12)=12),DecSun1+12,""),IF(AND(YEAR(DecSun1+19)=연간_달력,MONTH(DecSun1+19)=12),DecSun1+19,""))</f>
        <v>42355</v>
      </c>
      <c r="G9" s="20">
        <f>IF(DAY(DecSun1)=1,IF(AND(YEAR(DecSun1+13)=연간_달력,MONTH(DecSun1+13)=12),DecSun1+13,""),IF(AND(YEAR(DecSun1+20)=연간_달력,MONTH(DecSun1+20)=12),DecSun1+20,""))</f>
        <v>42356</v>
      </c>
      <c r="H9" s="20">
        <f>IF(DAY(DecSun1)=1,IF(AND(YEAR(DecSun1+14)=연간_달력,MONTH(DecSun1+14)=12),DecSun1+14,""),IF(AND(YEAR(DecSun1+21)=연간_달력,MONTH(DecSun1+21)=12),DecSun1+21,""))</f>
        <v>42357</v>
      </c>
      <c r="I9" s="13"/>
    </row>
    <row r="10" spans="1:18" ht="64.5" customHeight="1">
      <c r="A10" s="6"/>
      <c r="B10" s="15"/>
      <c r="C10" s="15"/>
      <c r="D10" s="15"/>
      <c r="E10" s="15"/>
      <c r="F10" s="15"/>
      <c r="G10" s="16"/>
      <c r="H10" s="16"/>
      <c r="I10" s="13"/>
    </row>
    <row r="11" spans="1:18" ht="15" customHeight="1">
      <c r="A11" s="6"/>
      <c r="B11" s="21">
        <f>IF(DAY(DecSun1)=1,IF(AND(YEAR(DecSun1+15)=연간_달력,MONTH(DecSun1+15)=12),DecSun1+15,""),IF(AND(YEAR(DecSun1+22)=연간_달력,MONTH(DecSun1+22)=12),DecSun1+22,""))</f>
        <v>42358</v>
      </c>
      <c r="C11" s="21">
        <f>IF(DAY(DecSun1)=1,IF(AND(YEAR(DecSun1+16)=연간_달력,MONTH(DecSun1+16)=12),DecSun1+16,""),IF(AND(YEAR(DecSun1+23)=연간_달력,MONTH(DecSun1+23)=12),DecSun1+23,""))</f>
        <v>42359</v>
      </c>
      <c r="D11" s="21">
        <f>IF(DAY(DecSun1)=1,IF(AND(YEAR(DecSun1+17)=연간_달력,MONTH(DecSun1+17)=12),DecSun1+17,""),IF(AND(YEAR(DecSun1+24)=연간_달력,MONTH(DecSun1+24)=12),DecSun1+24,""))</f>
        <v>42360</v>
      </c>
      <c r="E11" s="21">
        <f>IF(DAY(DecSun1)=1,IF(AND(YEAR(DecSun1+18)=연간_달력,MONTH(DecSun1+18)=12),DecSun1+18,""),IF(AND(YEAR(DecSun1+25)=연간_달력,MONTH(DecSun1+25)=12),DecSun1+25,""))</f>
        <v>42361</v>
      </c>
      <c r="F11" s="21">
        <f>IF(DAY(DecSun1)=1,IF(AND(YEAR(DecSun1+19)=연간_달력,MONTH(DecSun1+19)=12),DecSun1+19,""),IF(AND(YEAR(DecSun1+26)=연간_달력,MONTH(DecSun1+26)=12),DecSun1+26,""))</f>
        <v>42362</v>
      </c>
      <c r="G11" s="21">
        <f>IF(DAY(DecSun1)=1,IF(AND(YEAR(DecSun1+20)=연간_달력,MONTH(DecSun1+20)=12),DecSun1+20,""),IF(AND(YEAR(DecSun1+27)=연간_달력,MONTH(DecSun1+27)=12),DecSun1+27,""))</f>
        <v>42363</v>
      </c>
      <c r="H11" s="21">
        <f>IF(DAY(DecSun1)=1,IF(AND(YEAR(DecSun1+21)=연간_달력,MONTH(DecSun1+21)=12),DecSun1+21,""),IF(AND(YEAR(DecSun1+28)=연간_달력,MONTH(DecSun1+28)=12),DecSun1+28,""))</f>
        <v>42364</v>
      </c>
      <c r="I11" s="13"/>
    </row>
    <row r="12" spans="1:18" ht="64.5" customHeight="1">
      <c r="A12" s="6"/>
      <c r="B12" s="18"/>
      <c r="C12" s="18"/>
      <c r="D12" s="18"/>
      <c r="E12" s="18"/>
      <c r="F12" s="18"/>
      <c r="G12" s="19"/>
      <c r="H12" s="19"/>
      <c r="I12" s="13"/>
    </row>
    <row r="13" spans="1:18" ht="15" customHeight="1">
      <c r="A13" s="6"/>
      <c r="B13" s="20">
        <f>IF(DAY(DecSun1)=1,IF(AND(YEAR(DecSun1+22)=연간_달력,MONTH(DecSun1+22)=12),DecSun1+22,""),IF(AND(YEAR(DecSun1+29)=연간_달력,MONTH(DecSun1+29)=12),DecSun1+29,""))</f>
        <v>42365</v>
      </c>
      <c r="C13" s="20">
        <f>IF(DAY(DecSun1)=1,IF(AND(YEAR(DecSun1+23)=연간_달력,MONTH(DecSun1+23)=12),DecSun1+23,""),IF(AND(YEAR(DecSun1+30)=연간_달력,MONTH(DecSun1+30)=12),DecSun1+30,""))</f>
        <v>42366</v>
      </c>
      <c r="D13" s="20">
        <f>IF(DAY(DecSun1)=1,IF(AND(YEAR(DecSun1+24)=연간_달력,MONTH(DecSun1+24)=12),DecSun1+24,""),IF(AND(YEAR(DecSun1+31)=연간_달력,MONTH(DecSun1+31)=12),DecSun1+31,""))</f>
        <v>42367</v>
      </c>
      <c r="E13" s="20">
        <f>IF(DAY(DecSun1)=1,IF(AND(YEAR(DecSun1+25)=연간_달력,MONTH(DecSun1+25)=12),DecSun1+25,""),IF(AND(YEAR(DecSun1+32)=연간_달력,MONTH(DecSun1+32)=12),DecSun1+32,""))</f>
        <v>42368</v>
      </c>
      <c r="F13" s="20">
        <f>IF(DAY(DecSun1)=1,IF(AND(YEAR(DecSun1+26)=연간_달력,MONTH(DecSun1+26)=12),DecSun1+26,""),IF(AND(YEAR(DecSun1+33)=연간_달력,MONTH(DecSun1+33)=12),DecSun1+33,""))</f>
        <v>42369</v>
      </c>
      <c r="G13" s="20" t="str">
        <f>IF(DAY(DecSun1)=1,IF(AND(YEAR(DecSun1+27)=연간_달력,MONTH(DecSun1+27)=12),DecSun1+27,""),IF(AND(YEAR(DecSun1+34)=연간_달력,MONTH(DecSun1+34)=12),DecSun1+34,""))</f>
        <v/>
      </c>
      <c r="H13" s="20" t="str">
        <f>IF(DAY(DecSun1)=1,IF(AND(YEAR(DecSun1+28)=연간_달력,MONTH(DecSun1+28)=12),DecSun1+28,""),IF(AND(YEAR(DecSun1+35)=연간_달력,MONTH(DecSun1+35)=12),DecSun1+35,""))</f>
        <v/>
      </c>
      <c r="I13" s="13"/>
    </row>
    <row r="14" spans="1:18" ht="64.5" customHeight="1">
      <c r="A14" s="6"/>
      <c r="B14" s="15"/>
      <c r="C14" s="15"/>
      <c r="D14" s="15"/>
      <c r="E14" s="15"/>
      <c r="F14" s="15"/>
      <c r="G14" s="16"/>
      <c r="H14" s="16"/>
      <c r="I14" s="13"/>
    </row>
    <row r="15" spans="1:18" ht="15" customHeight="1">
      <c r="A15" s="6"/>
      <c r="B15" s="21" t="str">
        <f>IF(DAY(DecSun1)=1,IF(AND(YEAR(DecSun1+29)=연간_달력,MONTH(DecSun1+29)=12),DecSun1+29,""),IF(AND(YEAR(DecSun1+36)=연간_달력,MONTH(DecSun1+36)=12),DecSun1+36,""))</f>
        <v/>
      </c>
      <c r="C15" s="22" t="str">
        <f>IF(DAY(DecSun1)=1,IF(AND(YEAR(DecSun1+30)=연간_달력,MONTH(DecSun1+30)=12),DecSun1+30,""),IF(AND(YEAR(DecSun1+37)=연간_달력,MONTH(DecSun1+37)=12),DecSun1+37,""))</f>
        <v/>
      </c>
      <c r="D15" s="36" t="s">
        <v>8</v>
      </c>
      <c r="E15" s="37"/>
      <c r="F15" s="37"/>
      <c r="G15" s="37"/>
      <c r="H15" s="38"/>
      <c r="I15" s="13"/>
    </row>
    <row r="16" spans="1:18" ht="64.5" customHeight="1">
      <c r="A16" s="6"/>
      <c r="B16" s="18"/>
      <c r="C16" s="18"/>
      <c r="D16" s="28"/>
      <c r="E16" s="29"/>
      <c r="F16" s="29"/>
      <c r="G16" s="29"/>
      <c r="H16" s="30"/>
      <c r="I16" s="13"/>
    </row>
    <row r="17" spans="3:5" ht="22.5" customHeight="1"/>
    <row r="19" spans="3:5" ht="21" customHeight="1">
      <c r="C19" s="23"/>
      <c r="D19" s="24"/>
      <c r="E19" s="25"/>
    </row>
    <row r="20" spans="3:5" ht="19.5" customHeight="1"/>
  </sheetData>
  <mergeCells count="3">
    <mergeCell ref="B3:F3"/>
    <mergeCell ref="D15:H15"/>
    <mergeCell ref="D16:H16"/>
  </mergeCells>
  <phoneticPr fontId="6" type="noConversion"/>
  <printOptions horizontalCentered="1" verticalCentered="1"/>
  <pageMargins left="0.2" right="0.2" top="0.25" bottom="0.25" header="0" footer="0"/>
  <pageSetup scale="93" orientation="landscape" r:id="rId1"/>
  <headerFooter scaleWithDoc="0"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B0BE4E2F-F9E2-47EA-9749-00C2632BC6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13</vt:i4>
      </vt:variant>
    </vt:vector>
  </HeadingPairs>
  <TitlesOfParts>
    <vt:vector size="25" baseType="lpstr">
      <vt:lpstr>1월</vt:lpstr>
      <vt:lpstr>2월</vt:lpstr>
      <vt:lpstr>3월</vt:lpstr>
      <vt:lpstr>4월</vt:lpstr>
      <vt:lpstr>5월</vt:lpstr>
      <vt:lpstr>6월</vt:lpstr>
      <vt:lpstr>7월</vt:lpstr>
      <vt:lpstr>8월</vt:lpstr>
      <vt:lpstr>9월</vt:lpstr>
      <vt:lpstr>10월</vt:lpstr>
      <vt:lpstr>11월</vt:lpstr>
      <vt:lpstr>12월</vt:lpstr>
      <vt:lpstr>연간_달력</vt:lpstr>
      <vt:lpstr>'10월'!인쇄_영역</vt:lpstr>
      <vt:lpstr>'11월'!인쇄_영역</vt:lpstr>
      <vt:lpstr>'12월'!인쇄_영역</vt:lpstr>
      <vt:lpstr>'1월'!인쇄_영역</vt:lpstr>
      <vt:lpstr>'2월'!인쇄_영역</vt:lpstr>
      <vt:lpstr>'3월'!인쇄_영역</vt:lpstr>
      <vt:lpstr>'4월'!인쇄_영역</vt:lpstr>
      <vt:lpstr>'5월'!인쇄_영역</vt:lpstr>
      <vt:lpstr>'6월'!인쇄_영역</vt:lpstr>
      <vt:lpstr>'7월'!인쇄_영역</vt:lpstr>
      <vt:lpstr>'8월'!인쇄_영역</vt:lpstr>
      <vt:lpstr>'9월'!인쇄_영역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Registered User</cp:lastModifiedBy>
  <cp:lastPrinted>2015-08-31T07:37:43Z</cp:lastPrinted>
  <dcterms:created xsi:type="dcterms:W3CDTF">2015-08-31T06:51:24Z</dcterms:created>
  <dcterms:modified xsi:type="dcterms:W3CDTF">2015-08-31T07:40:53Z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TC034580769991</vt:lpwstr>
  </property>
</Properties>
</file>